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richie\Downloads\"/>
    </mc:Choice>
  </mc:AlternateContent>
  <xr:revisionPtr revIDLastSave="0" documentId="13_ncr:1_{855AE634-59D4-44DC-B455-84171F2F12BD}" xr6:coauthVersionLast="47" xr6:coauthVersionMax="47" xr10:uidLastSave="{00000000-0000-0000-0000-000000000000}"/>
  <bookViews>
    <workbookView xWindow="4515" yWindow="1125" windowWidth="21600" windowHeight="13455" xr2:uid="{5B0B5D89-5B23-4CF7-8F1E-B2DF31EF0C0E}"/>
  </bookViews>
  <sheets>
    <sheet name="About this Tool" sheetId="5" r:id="rId1"/>
    <sheet name="Allotments" sheetId="1" r:id="rId2"/>
    <sheet name="Benefits Estimator" sheetId="8" r:id="rId3"/>
    <sheet name="Stipend-Based Plan" sheetId="3" r:id="rId4"/>
    <sheet name="Salary-Based Plan" sheetId="6" r:id="rId5"/>
    <sheet name="Planning Notes" sheetId="7" r:id="rId6"/>
    <sheet name="Lookup Table" sheetId="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16" i="2" l="1"/>
  <c r="J1216" i="2"/>
  <c r="I80" i="6" l="1"/>
  <c r="G66" i="6"/>
  <c r="G65" i="6"/>
  <c r="G64" i="6"/>
  <c r="G63" i="6"/>
  <c r="G50" i="6"/>
  <c r="F50" i="6"/>
  <c r="E50" i="6"/>
  <c r="C50" i="6"/>
  <c r="B15" i="6"/>
  <c r="C35" i="8"/>
  <c r="C34" i="8"/>
  <c r="D19" i="1"/>
  <c r="C19" i="1"/>
  <c r="B19" i="1"/>
  <c r="B41" i="3"/>
  <c r="B21" i="3"/>
  <c r="B22" i="3" s="1"/>
  <c r="G18" i="3"/>
  <c r="G39" i="8" l="1"/>
  <c r="G38" i="8"/>
  <c r="G37" i="8"/>
  <c r="G36" i="8"/>
  <c r="G35" i="8"/>
  <c r="G34" i="8"/>
  <c r="G33" i="8"/>
  <c r="G32" i="8"/>
  <c r="G31" i="8"/>
  <c r="G30" i="8"/>
  <c r="G29" i="8"/>
  <c r="G28" i="8"/>
  <c r="F39" i="8"/>
  <c r="F38" i="8"/>
  <c r="F37" i="8"/>
  <c r="F36" i="8"/>
  <c r="F35" i="8"/>
  <c r="D39" i="8"/>
  <c r="D38" i="8"/>
  <c r="D37" i="8"/>
  <c r="D36" i="8"/>
  <c r="D35" i="8"/>
  <c r="C39" i="8"/>
  <c r="C38" i="8"/>
  <c r="C37" i="8"/>
  <c r="C36" i="8"/>
  <c r="F34" i="8" l="1"/>
  <c r="F33" i="8"/>
  <c r="F32" i="8"/>
  <c r="F31" i="8"/>
  <c r="F30" i="8"/>
  <c r="F29" i="8"/>
  <c r="F28" i="8"/>
  <c r="D34" i="8"/>
  <c r="D33" i="8"/>
  <c r="D32" i="8"/>
  <c r="D31" i="8"/>
  <c r="D30" i="8"/>
  <c r="D29" i="8"/>
  <c r="D28" i="8"/>
  <c r="B34" i="8"/>
  <c r="C33" i="8"/>
  <c r="C32" i="8"/>
  <c r="C31" i="8"/>
  <c r="C30" i="8"/>
  <c r="C29" i="8"/>
  <c r="C28" i="8"/>
  <c r="F34" i="1"/>
  <c r="D20" i="8"/>
  <c r="C20" i="8"/>
  <c r="R100" i="3"/>
  <c r="R99" i="3"/>
  <c r="R98" i="3"/>
  <c r="R97" i="3"/>
  <c r="R96" i="3"/>
  <c r="R95" i="3"/>
  <c r="R94" i="3"/>
  <c r="R93" i="3"/>
  <c r="O100" i="3"/>
  <c r="O99" i="3"/>
  <c r="O98" i="3"/>
  <c r="O97" i="3"/>
  <c r="O96" i="3"/>
  <c r="O95" i="3"/>
  <c r="O94" i="3"/>
  <c r="O93" i="3"/>
  <c r="M100" i="3"/>
  <c r="L100" i="3"/>
  <c r="N100" i="3" s="1"/>
  <c r="M99" i="3"/>
  <c r="L99" i="3"/>
  <c r="N99" i="3" s="1"/>
  <c r="M98" i="3"/>
  <c r="L98" i="3"/>
  <c r="M97" i="3"/>
  <c r="L97" i="3"/>
  <c r="N97" i="3" s="1"/>
  <c r="M96" i="3"/>
  <c r="L96" i="3"/>
  <c r="M95" i="3"/>
  <c r="L95" i="3"/>
  <c r="M94" i="3"/>
  <c r="L94" i="3"/>
  <c r="N94" i="3" s="1"/>
  <c r="M93" i="3"/>
  <c r="L93" i="3"/>
  <c r="N93" i="3" s="1"/>
  <c r="J100" i="3"/>
  <c r="I100" i="3"/>
  <c r="J99" i="3"/>
  <c r="I99" i="3"/>
  <c r="K99" i="3" s="1"/>
  <c r="J98" i="3"/>
  <c r="I98" i="3"/>
  <c r="J97" i="3"/>
  <c r="I97" i="3"/>
  <c r="J96" i="3"/>
  <c r="I96" i="3"/>
  <c r="J95" i="3"/>
  <c r="I95" i="3"/>
  <c r="K95" i="3" s="1"/>
  <c r="J94" i="3"/>
  <c r="I94" i="3"/>
  <c r="J93" i="3"/>
  <c r="I93" i="3"/>
  <c r="K93" i="3" s="1"/>
  <c r="G100" i="3"/>
  <c r="G99" i="3"/>
  <c r="G98" i="3"/>
  <c r="G97" i="3"/>
  <c r="G96" i="3"/>
  <c r="G95" i="3"/>
  <c r="G94" i="3"/>
  <c r="G93" i="3"/>
  <c r="F100" i="3"/>
  <c r="F99" i="3"/>
  <c r="F98" i="3"/>
  <c r="F97" i="3"/>
  <c r="F96" i="3"/>
  <c r="F95" i="3"/>
  <c r="H95" i="3" s="1"/>
  <c r="F94" i="3"/>
  <c r="F93" i="3"/>
  <c r="F68" i="3"/>
  <c r="C40" i="3"/>
  <c r="F3" i="3"/>
  <c r="G13" i="3" s="1"/>
  <c r="D58" i="3"/>
  <c r="F36" i="3"/>
  <c r="F13" i="3"/>
  <c r="C21" i="3"/>
  <c r="B34" i="3"/>
  <c r="J1085" i="2"/>
  <c r="J921" i="2"/>
  <c r="J621" i="2"/>
  <c r="J134" i="2"/>
  <c r="J306" i="2"/>
  <c r="J349" i="2"/>
  <c r="A181" i="2"/>
  <c r="A344" i="2"/>
  <c r="A385" i="2"/>
  <c r="A763" i="2"/>
  <c r="A813" i="2"/>
  <c r="A1175" i="2"/>
  <c r="A1002" i="2"/>
  <c r="A37" i="2"/>
  <c r="A841" i="2"/>
  <c r="A516" i="2"/>
  <c r="A668" i="2"/>
  <c r="A522" i="2"/>
  <c r="A298" i="2"/>
  <c r="A1214" i="2"/>
  <c r="A191" i="2"/>
  <c r="A45" i="2"/>
  <c r="A47" i="2"/>
  <c r="A503" i="2"/>
  <c r="A1193" i="2"/>
  <c r="A213" i="2"/>
  <c r="A197" i="2"/>
  <c r="A557" i="2"/>
  <c r="A673" i="2"/>
  <c r="A848" i="2"/>
  <c r="A859" i="2"/>
  <c r="A84" i="2"/>
  <c r="A978" i="2"/>
  <c r="A124" i="2"/>
  <c r="A753" i="2"/>
  <c r="A708" i="2"/>
  <c r="A70" i="2"/>
  <c r="A76" i="2"/>
  <c r="A343" i="2"/>
  <c r="A1003" i="2"/>
  <c r="A700" i="2"/>
  <c r="A983" i="2"/>
  <c r="A1029" i="2"/>
  <c r="A81" i="2"/>
  <c r="A824" i="2"/>
  <c r="A835" i="2"/>
  <c r="A999" i="2"/>
  <c r="A901" i="2"/>
  <c r="A872" i="2"/>
  <c r="A807" i="2"/>
  <c r="A10" i="2"/>
  <c r="A74" i="2"/>
  <c r="A85" i="2"/>
  <c r="A502" i="2"/>
  <c r="A579" i="2"/>
  <c r="A924" i="2"/>
  <c r="A944" i="2"/>
  <c r="A1056" i="2"/>
  <c r="A1107" i="2"/>
  <c r="A853" i="2"/>
  <c r="A408" i="2"/>
  <c r="A771" i="2"/>
  <c r="A626" i="2"/>
  <c r="A1016" i="2"/>
  <c r="A532" i="2"/>
  <c r="A91" i="2"/>
  <c r="A857" i="2"/>
  <c r="A491" i="2"/>
  <c r="A558" i="2"/>
  <c r="A638" i="2"/>
  <c r="A973" i="2"/>
  <c r="A472" i="2"/>
  <c r="A140" i="2"/>
  <c r="A974" i="2"/>
  <c r="A489" i="2"/>
  <c r="A75" i="2"/>
  <c r="A442" i="2"/>
  <c r="A340" i="2"/>
  <c r="A236" i="2"/>
  <c r="A874" i="2"/>
  <c r="A950" i="2"/>
  <c r="A1076" i="2"/>
  <c r="A934" i="2"/>
  <c r="A865" i="2"/>
  <c r="A17" i="2"/>
  <c r="A463" i="2"/>
  <c r="A330" i="2"/>
  <c r="A885" i="2"/>
  <c r="A949" i="2"/>
  <c r="A1011" i="2"/>
  <c r="A1008" i="2"/>
  <c r="A782" i="2"/>
  <c r="A321" i="2"/>
  <c r="A1015" i="2"/>
  <c r="A602" i="2"/>
  <c r="A396" i="2"/>
  <c r="A787" i="2"/>
  <c r="A559" i="2"/>
  <c r="A1014" i="2"/>
  <c r="A554" i="2"/>
  <c r="A99" i="2"/>
  <c r="A115" i="2"/>
  <c r="A217" i="2"/>
  <c r="A714" i="2"/>
  <c r="A743" i="2"/>
  <c r="A1127" i="2"/>
  <c r="A1151" i="2"/>
  <c r="A539" i="2"/>
  <c r="A587" i="2"/>
  <c r="A255" i="2"/>
  <c r="A285" i="2"/>
  <c r="A506" i="2"/>
  <c r="A695" i="2"/>
  <c r="A766" i="2"/>
  <c r="A895" i="2"/>
  <c r="A1062" i="2"/>
  <c r="A636" i="2"/>
  <c r="A996" i="2"/>
  <c r="A679" i="2"/>
  <c r="A893" i="2"/>
  <c r="A847" i="2"/>
  <c r="A513" i="2"/>
  <c r="A622" i="2"/>
  <c r="A29" i="2"/>
  <c r="A38" i="2"/>
  <c r="A277" i="2"/>
  <c r="A127" i="2"/>
  <c r="A1046" i="2"/>
  <c r="A227" i="2"/>
  <c r="A825" i="2"/>
  <c r="A276" i="2"/>
  <c r="A126" i="2"/>
  <c r="A53" i="2"/>
  <c r="A223" i="2"/>
  <c r="A147" i="2"/>
  <c r="A1058" i="2"/>
  <c r="A26" i="2"/>
  <c r="A683" i="2"/>
  <c r="A960" i="2"/>
  <c r="A995" i="2"/>
  <c r="A141" i="2"/>
  <c r="A71" i="2"/>
  <c r="A145" i="2"/>
  <c r="A101" i="2"/>
  <c r="A696" i="2"/>
  <c r="A1215" i="2"/>
  <c r="A139" i="2"/>
  <c r="A319" i="2"/>
  <c r="A164" i="2"/>
  <c r="A1009" i="2"/>
  <c r="A1005" i="2"/>
  <c r="A157" i="2"/>
  <c r="A684" i="2"/>
  <c r="A649" i="2"/>
  <c r="A669" i="2"/>
  <c r="A862" i="2"/>
  <c r="A165" i="2"/>
  <c r="A261" i="2"/>
  <c r="A219" i="2"/>
  <c r="A67" i="2"/>
  <c r="A352" i="2"/>
  <c r="A144" i="2"/>
  <c r="A465" i="2"/>
  <c r="A593" i="2"/>
  <c r="A661" i="2"/>
  <c r="A850" i="2"/>
  <c r="A908" i="2"/>
  <c r="A952" i="2"/>
  <c r="A967" i="2"/>
  <c r="A968" i="2"/>
  <c r="A1012" i="2"/>
  <c r="A843" i="2"/>
  <c r="A447" i="2"/>
  <c r="A817" i="2"/>
  <c r="A1178" i="2"/>
  <c r="A56" i="2"/>
  <c r="A64" i="2"/>
  <c r="A518" i="2"/>
  <c r="A640" i="2"/>
  <c r="A704" i="2"/>
  <c r="A878" i="2"/>
  <c r="A103" i="2"/>
  <c r="A302" i="2"/>
  <c r="A476" i="2"/>
  <c r="A762" i="2"/>
  <c r="A35" i="2"/>
  <c r="A73" i="2"/>
  <c r="A322" i="2"/>
  <c r="A27" i="2"/>
  <c r="A545" i="2"/>
  <c r="A938" i="2"/>
  <c r="A773" i="2"/>
  <c r="A1163" i="2"/>
  <c r="A201" i="2"/>
  <c r="A488" i="2"/>
  <c r="A834" i="2"/>
  <c r="A82" i="2"/>
  <c r="A725" i="2"/>
  <c r="A745" i="2"/>
  <c r="A1181" i="2"/>
  <c r="A137" i="2"/>
  <c r="A915" i="2"/>
  <c r="A222" i="2"/>
  <c r="A964" i="2"/>
  <c r="A819" i="2"/>
  <c r="A528" i="2"/>
  <c r="A655" i="2"/>
  <c r="A25" i="2"/>
  <c r="A39" i="2"/>
  <c r="A185" i="2"/>
  <c r="A366" i="2"/>
  <c r="A391" i="2"/>
  <c r="A702" i="2"/>
  <c r="A710" i="2"/>
  <c r="A846" i="2"/>
  <c r="A870" i="2"/>
  <c r="A876" i="2"/>
  <c r="A1205" i="2"/>
  <c r="A106" i="2"/>
  <c r="A233" i="2"/>
  <c r="A663" i="2"/>
  <c r="A1161" i="2"/>
  <c r="A228" i="2"/>
  <c r="A899" i="2"/>
  <c r="A1160" i="2"/>
  <c r="A1099" i="2"/>
  <c r="A767" i="2"/>
  <c r="A229" i="2"/>
  <c r="A230" i="2"/>
  <c r="A282" i="2"/>
  <c r="A451" i="2"/>
  <c r="A992" i="2"/>
  <c r="A329" i="2"/>
  <c r="A811" i="2"/>
  <c r="A397" i="2"/>
  <c r="A752" i="2"/>
  <c r="A1128" i="2"/>
  <c r="A166" i="2"/>
  <c r="A347" i="2"/>
  <c r="A641" i="2"/>
  <c r="A1150" i="2"/>
  <c r="A998" i="2"/>
  <c r="A355" i="2"/>
  <c r="A405" i="2"/>
  <c r="A799" i="2"/>
  <c r="A555" i="2"/>
  <c r="A244" i="2"/>
  <c r="A809" i="2"/>
  <c r="A254" i="2"/>
  <c r="A257" i="2"/>
  <c r="A260" i="2"/>
  <c r="A660" i="2"/>
  <c r="A882" i="2"/>
  <c r="A268" i="2"/>
  <c r="A274" i="2"/>
  <c r="A1074" i="2"/>
  <c r="A829" i="2"/>
  <c r="A1121" i="2"/>
  <c r="A1061" i="2"/>
  <c r="A671" i="2"/>
  <c r="A15" i="2"/>
  <c r="A637" i="2"/>
  <c r="A1117" i="2"/>
  <c r="A790" i="2"/>
  <c r="A12" i="2"/>
  <c r="A1098" i="2"/>
  <c r="A9" i="2"/>
  <c r="A549" i="2"/>
  <c r="A791" i="2"/>
  <c r="A1194" i="2"/>
  <c r="A4" i="2"/>
  <c r="A533" i="2"/>
  <c r="A406" i="2"/>
  <c r="A334" i="2"/>
  <c r="A357" i="2"/>
  <c r="A420" i="2"/>
  <c r="A1028" i="2"/>
  <c r="A591" i="2"/>
  <c r="A904" i="2"/>
  <c r="A210" i="2"/>
  <c r="A680" i="2"/>
  <c r="A1113" i="2"/>
  <c r="A624" i="2"/>
  <c r="A1141" i="2"/>
  <c r="A534" i="2"/>
  <c r="A842" i="2"/>
  <c r="A133" i="2"/>
  <c r="A178" i="2"/>
  <c r="A182" i="2"/>
  <c r="A275" i="2"/>
  <c r="A291" i="2"/>
  <c r="A315" i="2"/>
  <c r="A401" i="2"/>
  <c r="A433" i="2"/>
  <c r="A498" i="2"/>
  <c r="A541" i="2"/>
  <c r="A611" i="2"/>
  <c r="A717" i="2"/>
  <c r="A903" i="2"/>
  <c r="A1044" i="2"/>
  <c r="A243" i="2"/>
  <c r="A279" i="2"/>
  <c r="A584" i="2"/>
  <c r="A609" i="2"/>
  <c r="A961" i="2"/>
  <c r="A490" i="2"/>
  <c r="A1147" i="2"/>
  <c r="A242" i="2"/>
  <c r="A365" i="2"/>
  <c r="A785" i="2"/>
  <c r="A618" i="2"/>
  <c r="A1105" i="2"/>
  <c r="A289" i="2"/>
  <c r="A632" i="2"/>
  <c r="A839" i="2"/>
  <c r="A590" i="2"/>
  <c r="A851" i="2"/>
  <c r="A57" i="2"/>
  <c r="A963" i="2"/>
  <c r="A48" i="2"/>
  <c r="A789" i="2"/>
  <c r="A604" i="2"/>
  <c r="A645" i="2"/>
  <c r="A267" i="2"/>
  <c r="A780" i="2"/>
  <c r="A1210" i="2"/>
  <c r="A1211" i="2"/>
  <c r="A1172" i="2"/>
  <c r="A720" i="2"/>
  <c r="A1026" i="2"/>
  <c r="A823" i="2"/>
  <c r="A176" i="2"/>
  <c r="A211" i="2"/>
  <c r="A484" i="2"/>
  <c r="A883" i="2"/>
  <c r="A87" i="2"/>
  <c r="A953" i="2"/>
  <c r="A387" i="2"/>
  <c r="A208" i="2"/>
  <c r="A325" i="2"/>
  <c r="A428" i="2"/>
  <c r="A886" i="2"/>
  <c r="A911" i="2"/>
  <c r="A235" i="2"/>
  <c r="A326" i="2"/>
  <c r="A922" i="2"/>
  <c r="A792" i="2"/>
  <c r="A1155" i="2"/>
  <c r="A62" i="2"/>
  <c r="A346" i="2"/>
  <c r="A369" i="2"/>
  <c r="A542" i="2"/>
  <c r="A724" i="2"/>
  <c r="A730" i="2"/>
  <c r="A814" i="2"/>
  <c r="A894" i="2"/>
  <c r="A1156" i="2"/>
  <c r="A697" i="2"/>
  <c r="A158" i="2"/>
  <c r="A1101" i="2"/>
  <c r="A337" i="2"/>
  <c r="A473" i="2"/>
  <c r="A592" i="2"/>
  <c r="A1142" i="2"/>
  <c r="A339" i="2"/>
  <c r="A218" i="2"/>
  <c r="A338" i="2"/>
  <c r="A362" i="2"/>
  <c r="A954" i="2"/>
  <c r="A1212" i="2"/>
  <c r="A41" i="2"/>
  <c r="A173" i="2"/>
  <c r="A1093" i="2"/>
  <c r="A1007" i="2"/>
  <c r="A866" i="2"/>
  <c r="A348" i="2"/>
  <c r="A1084" i="2"/>
  <c r="A313" i="2"/>
  <c r="A1035" i="2"/>
  <c r="A107" i="2"/>
  <c r="A515" i="2"/>
  <c r="A642" i="2"/>
  <c r="A744" i="2"/>
  <c r="A203" i="2"/>
  <c r="A687" i="2"/>
  <c r="A1174" i="2"/>
  <c r="A929" i="2"/>
  <c r="A113" i="2"/>
  <c r="A304" i="2"/>
  <c r="A327" i="2"/>
  <c r="A505" i="2"/>
  <c r="A629" i="2"/>
  <c r="A970" i="2"/>
  <c r="A1096" i="2"/>
  <c r="A947" i="2"/>
  <c r="A370" i="2"/>
  <c r="A595" i="2"/>
  <c r="A975" i="2"/>
  <c r="A368" i="2"/>
  <c r="A932" i="2"/>
  <c r="A918" i="2"/>
  <c r="A930" i="2"/>
  <c r="A374" i="2"/>
  <c r="A650" i="2"/>
  <c r="A264" i="2"/>
  <c r="A608" i="2"/>
  <c r="A765" i="2"/>
  <c r="A379" i="2"/>
  <c r="A1030" i="2"/>
  <c r="A751" i="2"/>
  <c r="A363" i="2"/>
  <c r="A1054" i="2"/>
  <c r="A1204" i="2"/>
  <c r="A295" i="2"/>
  <c r="A300" i="2"/>
  <c r="A826" i="2"/>
  <c r="A977" i="2"/>
  <c r="A657" i="2"/>
  <c r="A981" i="2"/>
  <c r="A798" i="2"/>
  <c r="A32" i="2"/>
  <c r="A299" i="2"/>
  <c r="A399" i="2"/>
  <c r="A495" i="2"/>
  <c r="A1063" i="2"/>
  <c r="A501" i="2"/>
  <c r="A965" i="2"/>
  <c r="A214" i="2"/>
  <c r="A389" i="2"/>
  <c r="A858" i="2"/>
  <c r="A1013" i="2"/>
  <c r="A307" i="2"/>
  <c r="A386" i="2"/>
  <c r="A474" i="2"/>
  <c r="A416" i="2"/>
  <c r="A422" i="2"/>
  <c r="A423" i="2"/>
  <c r="A778" i="2"/>
  <c r="A1146" i="2"/>
  <c r="A623" i="2"/>
  <c r="A703" i="2"/>
  <c r="A816" i="2"/>
  <c r="A437" i="2"/>
  <c r="A83" i="2"/>
  <c r="A224" i="2"/>
  <c r="A288" i="2"/>
  <c r="A512" i="2"/>
  <c r="A990" i="2"/>
  <c r="A1089" i="2"/>
  <c r="A1131" i="2"/>
  <c r="A1183" i="2"/>
  <c r="A1184" i="2"/>
  <c r="A861" i="2"/>
  <c r="A939" i="2"/>
  <c r="A450" i="2"/>
  <c r="A1091" i="2"/>
  <c r="A324" i="2"/>
  <c r="A415" i="2"/>
  <c r="A578" i="2"/>
  <c r="A656" i="2"/>
  <c r="A840" i="2"/>
  <c r="A941" i="2"/>
  <c r="A1022" i="2"/>
  <c r="A1179" i="2"/>
  <c r="A36" i="2"/>
  <c r="A535" i="2"/>
  <c r="A761" i="2"/>
  <c r="A902" i="2"/>
  <c r="A980" i="2"/>
  <c r="A971" i="2"/>
  <c r="A760" i="2"/>
  <c r="A686" i="2"/>
  <c r="A7" i="2"/>
  <c r="A249" i="2"/>
  <c r="A453" i="2"/>
  <c r="A833" i="2"/>
  <c r="A845" i="2"/>
  <c r="A711" i="2"/>
  <c r="A1110" i="2"/>
  <c r="A457" i="2"/>
  <c r="A493" i="2"/>
  <c r="A449" i="2"/>
  <c r="A871" i="2"/>
  <c r="A1018" i="2"/>
  <c r="A202" i="2"/>
  <c r="A877" i="2"/>
  <c r="A588" i="2"/>
  <c r="A994" i="2"/>
  <c r="A462" i="2"/>
  <c r="A670" i="2"/>
  <c r="A1165" i="2"/>
  <c r="A982" i="2"/>
  <c r="A49" i="2"/>
  <c r="A409" i="2"/>
  <c r="A889" i="2"/>
  <c r="A11" i="2"/>
  <c r="A358" i="2"/>
  <c r="A1080" i="2"/>
  <c r="A24" i="2"/>
  <c r="A34" i="2"/>
  <c r="A510" i="2"/>
  <c r="A509" i="2"/>
  <c r="A168" i="2"/>
  <c r="A1017" i="2"/>
  <c r="A1111" i="2"/>
  <c r="A237" i="2"/>
  <c r="A1209" i="2"/>
  <c r="A469" i="2"/>
  <c r="A78" i="2"/>
  <c r="A13" i="2"/>
  <c r="A875" i="2"/>
  <c r="A719" i="2"/>
  <c r="A310" i="2"/>
  <c r="A468" i="2"/>
  <c r="A1033" i="2"/>
  <c r="A1079" i="2"/>
  <c r="A470" i="2"/>
  <c r="A1077" i="2"/>
  <c r="A1078" i="2"/>
  <c r="A89" i="2"/>
  <c r="A5" i="2"/>
  <c r="A350" i="2"/>
  <c r="A1208" i="2"/>
  <c r="A625" i="2"/>
  <c r="A102" i="2"/>
  <c r="A897" i="2"/>
  <c r="A342" i="2"/>
  <c r="A508" i="2"/>
  <c r="A20" i="2"/>
  <c r="A23" i="2"/>
  <c r="A192" i="2"/>
  <c r="A259" i="2"/>
  <c r="A272" i="2"/>
  <c r="A284" i="2"/>
  <c r="A398" i="2"/>
  <c r="A426" i="2"/>
  <c r="A511" i="2"/>
  <c r="A520" i="2"/>
  <c r="A564" i="2"/>
  <c r="A583" i="2"/>
  <c r="A597" i="2"/>
  <c r="A822" i="2"/>
  <c r="A1023" i="2"/>
  <c r="A1020" i="2"/>
  <c r="A1092" i="2"/>
  <c r="A988" i="2"/>
  <c r="A517" i="2"/>
  <c r="A561" i="2"/>
  <c r="A688" i="2"/>
  <c r="A1153" i="2"/>
  <c r="A456" i="2"/>
  <c r="A464" i="2"/>
  <c r="A345" i="2"/>
  <c r="A193" i="2"/>
  <c r="A477" i="2"/>
  <c r="A479" i="2"/>
  <c r="A936" i="2"/>
  <c r="A810" i="2"/>
  <c r="A563" i="2"/>
  <c r="A1067" i="2"/>
  <c r="A577" i="2"/>
  <c r="A957" i="2"/>
  <c r="A311" i="2"/>
  <c r="A1192" i="2"/>
  <c r="A482" i="2"/>
  <c r="A171" i="2"/>
  <c r="A55" i="2"/>
  <c r="A143" i="2"/>
  <c r="A262" i="2"/>
  <c r="A353" i="2"/>
  <c r="A677" i="2"/>
  <c r="A1097" i="2"/>
  <c r="A757" i="2"/>
  <c r="A613" i="2"/>
  <c r="A507" i="2"/>
  <c r="A1104" i="2"/>
  <c r="A527" i="2"/>
  <c r="A1134" i="2"/>
  <c r="A359" i="2"/>
  <c r="A305" i="2"/>
  <c r="A328" i="2"/>
  <c r="A332" i="2"/>
  <c r="A494" i="2"/>
  <c r="A698" i="2"/>
  <c r="A713" i="2"/>
  <c r="A735" i="2"/>
  <c r="A838" i="2"/>
  <c r="A873" i="2"/>
  <c r="A986" i="2"/>
  <c r="A596" i="2"/>
  <c r="A1164" i="2"/>
  <c r="A601" i="2"/>
  <c r="A738" i="2"/>
  <c r="A1129" i="2"/>
  <c r="A6" i="2"/>
  <c r="A161" i="2"/>
  <c r="A252" i="2"/>
  <c r="A500" i="2"/>
  <c r="A514" i="2"/>
  <c r="A543" i="2"/>
  <c r="A678" i="2"/>
  <c r="A748" i="2"/>
  <c r="A1186" i="2"/>
  <c r="A44" i="2"/>
  <c r="A108" i="2"/>
  <c r="A830" i="2"/>
  <c r="A42" i="2"/>
  <c r="A630" i="2"/>
  <c r="A927" i="2"/>
  <c r="A1004" i="2"/>
  <c r="A1043" i="2"/>
  <c r="A1185" i="2"/>
  <c r="A605" i="2"/>
  <c r="A432" i="2"/>
  <c r="A643" i="2"/>
  <c r="A1090" i="2"/>
  <c r="A1042" i="2"/>
  <c r="A270" i="2"/>
  <c r="A783" i="2"/>
  <c r="A731" i="2"/>
  <c r="A234" i="2"/>
  <c r="A945" i="2"/>
  <c r="A1041" i="2"/>
  <c r="A258" i="2"/>
  <c r="A440" i="2"/>
  <c r="A664" i="2"/>
  <c r="A616" i="2"/>
  <c r="A572" i="2"/>
  <c r="A94" i="2"/>
  <c r="A220" i="2"/>
  <c r="A378" i="2"/>
  <c r="A395" i="2"/>
  <c r="A993" i="2"/>
  <c r="A287" i="2"/>
  <c r="A162" i="2"/>
  <c r="A184" i="2"/>
  <c r="A232" i="2"/>
  <c r="A443" i="2"/>
  <c r="A654" i="2"/>
  <c r="A879" i="2"/>
  <c r="A1200" i="2"/>
  <c r="A170" i="2"/>
  <c r="A100" i="2"/>
  <c r="A111" i="2"/>
  <c r="A116" i="2"/>
  <c r="A962" i="2"/>
  <c r="A849" i="2"/>
  <c r="A1021" i="2"/>
  <c r="A540" i="2"/>
  <c r="A148" i="2"/>
  <c r="A544" i="2"/>
  <c r="A831" i="2"/>
  <c r="A333" i="2"/>
  <c r="A400" i="2"/>
  <c r="A529" i="2"/>
  <c r="A138" i="2"/>
  <c r="A153" i="2"/>
  <c r="A547" i="2"/>
  <c r="A582" i="2"/>
  <c r="A354" i="2"/>
  <c r="A394" i="2"/>
  <c r="A1125" i="2"/>
  <c r="A1055" i="2"/>
  <c r="A335" i="2"/>
  <c r="A109" i="2"/>
  <c r="A764" i="2"/>
  <c r="A855" i="2"/>
  <c r="A856" i="2"/>
  <c r="A79" i="2"/>
  <c r="A942" i="2"/>
  <c r="A459" i="2"/>
  <c r="A551" i="2"/>
  <c r="A22" i="2"/>
  <c r="A86" i="2"/>
  <c r="A804" i="2"/>
  <c r="A867" i="2"/>
  <c r="A594" i="2"/>
  <c r="A28" i="2"/>
  <c r="A156" i="2"/>
  <c r="A215" i="2"/>
  <c r="A436" i="2"/>
  <c r="A556" i="2"/>
  <c r="A566" i="2"/>
  <c r="A909" i="2"/>
  <c r="A1136" i="2"/>
  <c r="A418" i="2"/>
  <c r="A40" i="2"/>
  <c r="A458" i="2"/>
  <c r="A481" i="2"/>
  <c r="A667" i="2"/>
  <c r="A1031" i="2"/>
  <c r="A562" i="2"/>
  <c r="A571" i="2"/>
  <c r="A937" i="2"/>
  <c r="A364" i="2"/>
  <c r="A253" i="2"/>
  <c r="A377" i="2"/>
  <c r="A565" i="2"/>
  <c r="A569" i="2"/>
  <c r="A674" i="2"/>
  <c r="A1060" i="2"/>
  <c r="A976" i="2"/>
  <c r="A707" i="2"/>
  <c r="A110" i="2"/>
  <c r="A231" i="2"/>
  <c r="A570" i="2"/>
  <c r="A548" i="2"/>
  <c r="A187" i="2"/>
  <c r="A521" i="2"/>
  <c r="A576" i="2"/>
  <c r="A531" i="2"/>
  <c r="A303" i="2"/>
  <c r="A560" i="2"/>
  <c r="A452" i="2"/>
  <c r="A122" i="2"/>
  <c r="A580" i="2"/>
  <c r="A898" i="2"/>
  <c r="A914" i="2"/>
  <c r="A966" i="2"/>
  <c r="A586" i="2"/>
  <c r="A756" i="2"/>
  <c r="A88" i="2"/>
  <c r="A206" i="2"/>
  <c r="A821" i="2"/>
  <c r="A784" i="2"/>
  <c r="A864" i="2"/>
  <c r="A33" i="2"/>
  <c r="A646" i="2"/>
  <c r="A802" i="2"/>
  <c r="A1024" i="2"/>
  <c r="A1040" i="2"/>
  <c r="A610" i="2"/>
  <c r="A652" i="2"/>
  <c r="A250" i="2"/>
  <c r="A454" i="2"/>
  <c r="A747" i="2"/>
  <c r="A991" i="2"/>
  <c r="A1143" i="2"/>
  <c r="A1047" i="2"/>
  <c r="A361" i="2"/>
  <c r="A413" i="2"/>
  <c r="A633" i="2"/>
  <c r="A301" i="2"/>
  <c r="A151" i="2"/>
  <c r="A188" i="2"/>
  <c r="A781" i="2"/>
  <c r="A795" i="2"/>
  <c r="A628" i="2"/>
  <c r="A216" i="2"/>
  <c r="A281" i="2"/>
  <c r="A293" i="2"/>
  <c r="A461" i="2"/>
  <c r="A519" i="2"/>
  <c r="A635" i="2"/>
  <c r="A1051" i="2"/>
  <c r="A241" i="2"/>
  <c r="A446" i="2"/>
  <c r="A718" i="2"/>
  <c r="A114" i="2"/>
  <c r="A375" i="2"/>
  <c r="A278" i="2"/>
  <c r="A410" i="2"/>
  <c r="A1083" i="2"/>
  <c r="A648" i="2"/>
  <c r="A1072" i="2"/>
  <c r="A910" i="2"/>
  <c r="A1103" i="2"/>
  <c r="A90" i="2"/>
  <c r="A665" i="2"/>
  <c r="A769" i="2"/>
  <c r="A1000" i="2"/>
  <c r="A666" i="2"/>
  <c r="A388" i="2"/>
  <c r="A926" i="2"/>
  <c r="A984" i="2"/>
  <c r="A526" i="2"/>
  <c r="A797" i="2"/>
  <c r="A1050" i="2"/>
  <c r="A772" i="2"/>
  <c r="A1191" i="2"/>
  <c r="A675" i="2"/>
  <c r="A786" i="2"/>
  <c r="A550" i="2"/>
  <c r="A1032" i="2"/>
  <c r="A429" i="2"/>
  <c r="A692" i="2"/>
  <c r="A77" i="2"/>
  <c r="A1087" i="2"/>
  <c r="A693" i="2"/>
  <c r="A812" i="2"/>
  <c r="A1133" i="2"/>
  <c r="A317" i="2"/>
  <c r="A123" i="2"/>
  <c r="A919" i="2"/>
  <c r="A651" i="2"/>
  <c r="A1144" i="2"/>
  <c r="A888" i="2"/>
  <c r="A471" i="2"/>
  <c r="A256" i="2"/>
  <c r="A726" i="2"/>
  <c r="A599" i="2"/>
  <c r="A659" i="2"/>
  <c r="A689" i="2"/>
  <c r="A701" i="2"/>
  <c r="A741" i="2"/>
  <c r="A906" i="2"/>
  <c r="A1145" i="2"/>
  <c r="A1166" i="2"/>
  <c r="A65" i="2"/>
  <c r="A146" i="2"/>
  <c r="A204" i="2"/>
  <c r="A239" i="2"/>
  <c r="A916" i="2"/>
  <c r="A117" i="2"/>
  <c r="A455" i="2"/>
  <c r="A412" i="2"/>
  <c r="A705" i="2"/>
  <c r="A294" i="2"/>
  <c r="A297" i="2"/>
  <c r="A759" i="2"/>
  <c r="A504" i="2"/>
  <c r="A709" i="2"/>
  <c r="A712" i="2"/>
  <c r="A722" i="2"/>
  <c r="A723" i="2"/>
  <c r="A444" i="2"/>
  <c r="A169" i="2"/>
  <c r="A407" i="2"/>
  <c r="A727" i="2"/>
  <c r="A920" i="2"/>
  <c r="A1081" i="2"/>
  <c r="A149" i="2"/>
  <c r="A421" i="2"/>
  <c r="A754" i="2"/>
  <c r="A869" i="2"/>
  <c r="A226" i="2"/>
  <c r="A658" i="2"/>
  <c r="A1171" i="2"/>
  <c r="A119" i="2"/>
  <c r="A779" i="2"/>
  <c r="A419" i="2"/>
  <c r="A737" i="2"/>
  <c r="A863" i="2"/>
  <c r="A376" i="2"/>
  <c r="A943" i="2"/>
  <c r="A1071" i="2"/>
  <c r="A240" i="2"/>
  <c r="A740" i="2"/>
  <c r="A1189" i="2"/>
  <c r="A676" i="2"/>
  <c r="A1019" i="2"/>
  <c r="A768" i="2"/>
  <c r="A314" i="2"/>
  <c r="A1045" i="2"/>
  <c r="A273" i="2"/>
  <c r="A836" i="2"/>
  <c r="A746" i="2"/>
  <c r="A1034" i="2"/>
  <c r="A205" i="2"/>
  <c r="A271" i="2"/>
  <c r="A403" i="2"/>
  <c r="A758" i="2"/>
  <c r="A1199" i="2"/>
  <c r="A190" i="2"/>
  <c r="A691" i="2"/>
  <c r="A351" i="2"/>
  <c r="A308" i="2"/>
  <c r="A104" i="2"/>
  <c r="A248" i="2"/>
  <c r="A280" i="2"/>
  <c r="A392" i="2"/>
  <c r="A574" i="2"/>
  <c r="A728" i="2"/>
  <c r="A900" i="2"/>
  <c r="A155" i="2"/>
  <c r="A777" i="2"/>
  <c r="A296" i="2"/>
  <c r="A928" i="2"/>
  <c r="A1048" i="2"/>
  <c r="A98" i="2"/>
  <c r="A497" i="2"/>
  <c r="A309" i="2"/>
  <c r="A246" i="2"/>
  <c r="A979" i="2"/>
  <c r="A16" i="2"/>
  <c r="A97" i="2"/>
  <c r="A163" i="2"/>
  <c r="A245" i="2"/>
  <c r="A312" i="2"/>
  <c r="A653" i="2"/>
  <c r="A854" i="2"/>
  <c r="A917" i="2"/>
  <c r="A1109" i="2"/>
  <c r="A72" i="2"/>
  <c r="A373" i="2"/>
  <c r="A1168" i="2"/>
  <c r="A832" i="2"/>
  <c r="A121" i="2"/>
  <c r="A1135" i="2"/>
  <c r="A14" i="2"/>
  <c r="A1188" i="2"/>
  <c r="A131" i="2"/>
  <c r="A805" i="2"/>
  <c r="A1167" i="2"/>
  <c r="A1140" i="2"/>
  <c r="A644" i="2"/>
  <c r="A427" i="2"/>
  <c r="A430" i="2"/>
  <c r="A734" i="2"/>
  <c r="A969" i="2"/>
  <c r="A1039" i="2"/>
  <c r="A815" i="2"/>
  <c r="A818" i="2"/>
  <c r="A80" i="2"/>
  <c r="A179" i="2"/>
  <c r="A404" i="2"/>
  <c r="A263" i="2"/>
  <c r="A852" i="2"/>
  <c r="A1025" i="2"/>
  <c r="A1158" i="2"/>
  <c r="A732" i="2"/>
  <c r="A21" i="2"/>
  <c r="A827" i="2"/>
  <c r="A136" i="2"/>
  <c r="A402" i="2"/>
  <c r="A118" i="2"/>
  <c r="A367" i="2"/>
  <c r="A390" i="2"/>
  <c r="A617" i="2"/>
  <c r="A150" i="2"/>
  <c r="A381" i="2"/>
  <c r="A538" i="2"/>
  <c r="A92" i="2"/>
  <c r="A424" i="2"/>
  <c r="A247" i="2"/>
  <c r="A627" i="2"/>
  <c r="A647" i="2"/>
  <c r="A803" i="2"/>
  <c r="A31" i="2"/>
  <c r="A912" i="2"/>
  <c r="A499" i="2"/>
  <c r="A160" i="2"/>
  <c r="A685" i="2"/>
  <c r="A868" i="2"/>
  <c r="A881" i="2"/>
  <c r="A174" i="2"/>
  <c r="A892" i="2"/>
  <c r="A95" i="2"/>
  <c r="A619" i="2"/>
  <c r="A63" i="2"/>
  <c r="A913" i="2"/>
  <c r="A212" i="2"/>
  <c r="A292" i="2"/>
  <c r="A828" i="2"/>
  <c r="A69" i="2"/>
  <c r="A61" i="2"/>
  <c r="A1201" i="2"/>
  <c r="A896" i="2"/>
  <c r="A721" i="2"/>
  <c r="A129" i="2"/>
  <c r="A167" i="2"/>
  <c r="A384" i="2"/>
  <c r="A483" i="2"/>
  <c r="A755" i="2"/>
  <c r="A923" i="2"/>
  <c r="A935" i="2"/>
  <c r="A68" i="2"/>
  <c r="A729" i="2"/>
  <c r="A1198" i="2"/>
  <c r="A800" i="2"/>
  <c r="A487" i="2"/>
  <c r="A612" i="2"/>
  <c r="A631" i="2"/>
  <c r="A749" i="2"/>
  <c r="A808" i="2"/>
  <c r="A1052" i="2"/>
  <c r="A175" i="2"/>
  <c r="A1169" i="2"/>
  <c r="A485" i="2"/>
  <c r="A1170" i="2"/>
  <c r="A951" i="2"/>
  <c r="A135" i="2"/>
  <c r="A221" i="2"/>
  <c r="A989" i="2"/>
  <c r="A46" i="2"/>
  <c r="A445" i="2"/>
  <c r="A530" i="2"/>
  <c r="A694" i="2"/>
  <c r="A796" i="2"/>
  <c r="A997" i="2"/>
  <c r="A1049" i="2"/>
  <c r="A959" i="2"/>
  <c r="A905" i="2"/>
  <c r="A198" i="2"/>
  <c r="A972" i="2"/>
  <c r="A492" i="2"/>
  <c r="A1006" i="2"/>
  <c r="A537" i="2"/>
  <c r="A19" i="2"/>
  <c r="A742" i="2"/>
  <c r="A186" i="2"/>
  <c r="A553" i="2"/>
  <c r="A987" i="2"/>
  <c r="A1057" i="2"/>
  <c r="A1088" i="2"/>
  <c r="A360" i="2"/>
  <c r="A1073" i="2"/>
  <c r="A1038" i="2"/>
  <c r="A269" i="2"/>
  <c r="A1122" i="2"/>
  <c r="A52" i="2"/>
  <c r="A152" i="2"/>
  <c r="A639" i="2"/>
  <c r="A1106" i="2"/>
  <c r="A1112" i="2"/>
  <c r="A1182" i="2"/>
  <c r="A195" i="2"/>
  <c r="A1197" i="2"/>
  <c r="A125" i="2"/>
  <c r="A417" i="2"/>
  <c r="A907" i="2"/>
  <c r="A956" i="2"/>
  <c r="A925" i="2"/>
  <c r="A128" i="2"/>
  <c r="A1036" i="2"/>
  <c r="A54" i="2"/>
  <c r="A1010" i="2"/>
  <c r="A460" i="2"/>
  <c r="A1108" i="2"/>
  <c r="A589" i="2"/>
  <c r="A1094" i="2"/>
  <c r="A50" i="2"/>
  <c r="A382" i="2"/>
  <c r="A1173" i="2"/>
  <c r="A323" i="2"/>
  <c r="A1070" i="2"/>
  <c r="A776" i="2"/>
  <c r="A496" i="2"/>
  <c r="A51" i="2"/>
  <c r="A96" i="2"/>
  <c r="A356" i="2"/>
  <c r="A383" i="2"/>
  <c r="A441" i="2"/>
  <c r="A567" i="2"/>
  <c r="A682" i="2"/>
  <c r="A607" i="2"/>
  <c r="A265" i="2"/>
  <c r="A573" i="2"/>
  <c r="A66" i="2"/>
  <c r="A524" i="2"/>
  <c r="A180" i="2"/>
  <c r="A316" i="2"/>
  <c r="A177" i="2"/>
  <c r="A1180" i="2"/>
  <c r="A1064" i="2"/>
  <c r="A8" i="2"/>
  <c r="A716" i="2"/>
  <c r="A1095" i="2"/>
  <c r="A552" i="2"/>
  <c r="A1206" i="2"/>
  <c r="A1059" i="2"/>
  <c r="A142" i="2"/>
  <c r="A706" i="2"/>
  <c r="A1162" i="2"/>
  <c r="A1086" i="2"/>
  <c r="A1202" i="2"/>
  <c r="A750" i="2"/>
  <c r="A196" i="2"/>
  <c r="A478" i="2"/>
  <c r="A1066" i="2"/>
  <c r="A207" i="2"/>
  <c r="A948" i="2"/>
  <c r="A1154" i="2"/>
  <c r="A1148" i="2"/>
  <c r="A439" i="2"/>
  <c r="A1137" i="2"/>
  <c r="A1118" i="2"/>
  <c r="A1157" i="2"/>
  <c r="A794" i="2"/>
  <c r="A1065" i="2"/>
  <c r="A1120" i="2"/>
  <c r="A194" i="2"/>
  <c r="A467" i="2"/>
  <c r="A183" i="2"/>
  <c r="A1119" i="2"/>
  <c r="A581" i="2"/>
  <c r="A59" i="2"/>
  <c r="A1126" i="2"/>
  <c r="A58" i="2"/>
  <c r="A739" i="2"/>
  <c r="A1075" i="2"/>
  <c r="A1130" i="2"/>
  <c r="A60" i="2"/>
  <c r="A837" i="2"/>
  <c r="A1068" i="2"/>
  <c r="A1069" i="2"/>
  <c r="A681" i="2"/>
  <c r="A318" i="2"/>
  <c r="A286" i="2"/>
  <c r="A603" i="2"/>
  <c r="A606" i="2"/>
  <c r="A448" i="2"/>
  <c r="A1100" i="2"/>
  <c r="A189" i="2"/>
  <c r="A43" i="2"/>
  <c r="A225" i="2"/>
  <c r="A1203" i="2"/>
  <c r="A1152" i="2"/>
  <c r="A1027" i="2"/>
  <c r="A199" i="2"/>
  <c r="A93" i="2"/>
  <c r="A414" i="2"/>
  <c r="A806" i="2"/>
  <c r="A1115" i="2"/>
  <c r="A466" i="2"/>
  <c r="A770" i="2"/>
  <c r="A1114" i="2"/>
  <c r="A699" i="2"/>
  <c r="A887" i="2"/>
  <c r="A585" i="2"/>
  <c r="A940" i="2"/>
  <c r="A1124" i="2"/>
  <c r="A1123" i="2"/>
  <c r="A955" i="2"/>
  <c r="A238" i="2"/>
  <c r="A884" i="2"/>
  <c r="A172" i="2"/>
  <c r="A331" i="2"/>
  <c r="A434" i="2"/>
  <c r="A690" i="2"/>
  <c r="A1132" i="2"/>
  <c r="A1190" i="2"/>
  <c r="A393" i="2"/>
  <c r="A105" i="2"/>
  <c r="A1139" i="2"/>
  <c r="A793" i="2"/>
  <c r="A890" i="2"/>
  <c r="A946" i="2"/>
  <c r="A774" i="2"/>
  <c r="A523" i="2"/>
  <c r="A486" i="2"/>
  <c r="A1149" i="2"/>
  <c r="A933" i="2"/>
  <c r="A736" i="2"/>
  <c r="A435" i="2"/>
  <c r="A130" i="2"/>
  <c r="A159" i="2"/>
  <c r="A1102" i="2"/>
  <c r="A614" i="2"/>
  <c r="A1116" i="2"/>
  <c r="A1159" i="2"/>
  <c r="A112" i="2"/>
  <c r="A320" i="2"/>
  <c r="A336" i="2"/>
  <c r="A1176" i="2"/>
  <c r="A662" i="2"/>
  <c r="A985" i="2"/>
  <c r="A1177" i="2"/>
  <c r="A568" i="2"/>
  <c r="A380" i="2"/>
  <c r="A154" i="2"/>
  <c r="A341" i="2"/>
  <c r="A536" i="2"/>
  <c r="A1187" i="2"/>
  <c r="A209" i="2"/>
  <c r="A475" i="2"/>
  <c r="A1138" i="2"/>
  <c r="A788" i="2"/>
  <c r="A615" i="2"/>
  <c r="A672" i="2"/>
  <c r="A891" i="2"/>
  <c r="A958" i="2"/>
  <c r="A715" i="2"/>
  <c r="A425" i="2"/>
  <c r="A371" i="2"/>
  <c r="A411" i="2"/>
  <c r="A438" i="2"/>
  <c r="A525" i="2"/>
  <c r="A546" i="2"/>
  <c r="A634" i="2"/>
  <c r="A931" i="2"/>
  <c r="A1053" i="2"/>
  <c r="A1082" i="2"/>
  <c r="A620" i="2"/>
  <c r="A251" i="2"/>
  <c r="A372" i="2"/>
  <c r="A600" i="2"/>
  <c r="A860" i="2"/>
  <c r="A1037" i="2"/>
  <c r="A575" i="2"/>
  <c r="A1195" i="2"/>
  <c r="A30" i="2"/>
  <c r="A120" i="2"/>
  <c r="A132" i="2"/>
  <c r="A200" i="2"/>
  <c r="A283" i="2"/>
  <c r="A820" i="2"/>
  <c r="A1001" i="2"/>
  <c r="A480" i="2"/>
  <c r="A733" i="2"/>
  <c r="A880" i="2"/>
  <c r="A1207" i="2"/>
  <c r="A18" i="2"/>
  <c r="A1196" i="2"/>
  <c r="A290" i="2"/>
  <c r="A844" i="2"/>
  <c r="A431" i="2"/>
  <c r="A775" i="2"/>
  <c r="A801" i="2"/>
  <c r="A1213" i="2"/>
  <c r="A266" i="2"/>
  <c r="A598" i="2"/>
  <c r="J598" i="2"/>
  <c r="J266" i="2"/>
  <c r="J1213" i="2"/>
  <c r="J801" i="2"/>
  <c r="B3" i="6"/>
  <c r="D3" i="3"/>
  <c r="C9" i="1" l="1"/>
  <c r="D9" i="1"/>
  <c r="E9" i="1"/>
  <c r="G40" i="8"/>
  <c r="F40" i="8"/>
  <c r="C40" i="8"/>
  <c r="D40" i="8"/>
  <c r="V96" i="3"/>
  <c r="V93" i="3"/>
  <c r="V98" i="3"/>
  <c r="V94" i="3"/>
  <c r="H100" i="3"/>
  <c r="V99" i="3"/>
  <c r="H97" i="3"/>
  <c r="H98" i="3"/>
  <c r="K97" i="3"/>
  <c r="N95" i="3"/>
  <c r="N96" i="3"/>
  <c r="V95" i="3"/>
  <c r="H99" i="3"/>
  <c r="H96" i="3"/>
  <c r="K100" i="3"/>
  <c r="N98" i="3"/>
  <c r="V97" i="3"/>
  <c r="V100" i="3"/>
  <c r="K94" i="3"/>
  <c r="H93" i="3"/>
  <c r="H94" i="3"/>
  <c r="K96" i="3"/>
  <c r="K98" i="3"/>
  <c r="G36" i="3"/>
  <c r="D59" i="3"/>
  <c r="B9" i="1"/>
  <c r="J500" i="2"/>
  <c r="J791" i="2"/>
  <c r="J844" i="2"/>
  <c r="J256" i="2"/>
  <c r="J388" i="2"/>
  <c r="J858" i="2"/>
  <c r="J737" i="2"/>
  <c r="J401" i="2"/>
  <c r="J1037" i="2"/>
  <c r="J45" i="2"/>
  <c r="J733" i="2"/>
  <c r="J928" i="2"/>
  <c r="J1040" i="2"/>
  <c r="J457" i="2"/>
  <c r="J537" i="2"/>
  <c r="J294" i="2"/>
  <c r="J842" i="2"/>
  <c r="J964" i="2"/>
  <c r="J1058" i="2"/>
  <c r="J29" i="2"/>
  <c r="J124" i="2"/>
  <c r="J860" i="2"/>
  <c r="J507" i="2"/>
  <c r="J1173" i="2"/>
  <c r="J1034" i="2"/>
  <c r="J543" i="2"/>
  <c r="J41" i="2"/>
  <c r="J274" i="2"/>
  <c r="J731" i="2"/>
  <c r="J439" i="2"/>
  <c r="J66" i="2"/>
  <c r="J390" i="2"/>
  <c r="J395" i="2"/>
  <c r="J988" i="2"/>
  <c r="J102" i="2"/>
  <c r="J423" i="2"/>
  <c r="J751" i="2"/>
  <c r="J1212" i="2"/>
  <c r="J495" i="2"/>
  <c r="J560" i="2"/>
  <c r="J828" i="2"/>
  <c r="J312" i="2"/>
  <c r="J942" i="2"/>
  <c r="J643" i="2"/>
  <c r="J692" i="2"/>
  <c r="J1132" i="2"/>
  <c r="J453" i="2"/>
  <c r="J702" i="2"/>
  <c r="J634" i="2"/>
  <c r="J426" i="2"/>
  <c r="J911" i="2"/>
  <c r="J165" i="2"/>
  <c r="J1035" i="2"/>
  <c r="J143" i="2"/>
  <c r="J672" i="2"/>
  <c r="J135" i="2"/>
  <c r="J354" i="2"/>
  <c r="J615" i="2"/>
  <c r="J387" i="2"/>
  <c r="J604" i="2"/>
  <c r="J1062" i="2"/>
  <c r="J112" i="2"/>
  <c r="J1152" i="2"/>
  <c r="J432" i="2"/>
  <c r="J837" i="2"/>
  <c r="J144" i="2"/>
  <c r="J223" i="2"/>
  <c r="J474" i="2"/>
  <c r="J250" i="2"/>
  <c r="J150" i="2"/>
  <c r="J1149" i="2"/>
  <c r="J877" i="2"/>
  <c r="J1208" i="2"/>
  <c r="J666" i="2"/>
  <c r="J160" i="2"/>
  <c r="J245" i="2"/>
  <c r="J1133" i="2"/>
  <c r="J1190" i="2"/>
  <c r="J587" i="2"/>
  <c r="J629" i="2"/>
  <c r="J1082" i="2"/>
  <c r="J238" i="2"/>
  <c r="J458" i="2"/>
  <c r="J386" i="2"/>
  <c r="J211" i="2"/>
  <c r="J1178" i="2"/>
  <c r="J309" i="2"/>
  <c r="J998" i="2"/>
  <c r="J913" i="2"/>
  <c r="J770" i="2"/>
  <c r="J699" i="2"/>
  <c r="J627" i="2"/>
  <c r="J713" i="2"/>
  <c r="J16" i="2"/>
  <c r="J377" i="2"/>
  <c r="J225" i="2"/>
  <c r="J90" i="2"/>
  <c r="J36" i="2"/>
  <c r="J1203" i="2"/>
  <c r="J701" i="2"/>
  <c r="J1204" i="2"/>
  <c r="J787" i="2"/>
  <c r="J222" i="2"/>
  <c r="J128" i="2"/>
  <c r="J435" i="2"/>
  <c r="J283" i="2"/>
  <c r="J230" i="2"/>
  <c r="J999" i="2"/>
  <c r="J773" i="2"/>
  <c r="J1130" i="2"/>
  <c r="J512" i="2"/>
  <c r="J830" i="2"/>
  <c r="J1186" i="2"/>
  <c r="J182" i="2"/>
  <c r="J48" i="2"/>
  <c r="J156" i="2"/>
  <c r="J869" i="2"/>
  <c r="J1016" i="2"/>
  <c r="J1123" i="2"/>
  <c r="J196" i="2"/>
  <c r="J991" i="2"/>
  <c r="J771" i="2"/>
  <c r="J574" i="2"/>
  <c r="J626" i="2"/>
  <c r="J328" i="2"/>
  <c r="J414" i="2"/>
  <c r="J35" i="2"/>
  <c r="J686" i="2"/>
  <c r="J82" i="2"/>
  <c r="J806" i="2"/>
  <c r="J1059" i="2"/>
  <c r="J317" i="2"/>
  <c r="J1116" i="2"/>
  <c r="J93" i="2"/>
  <c r="J690" i="2"/>
  <c r="J778" i="2"/>
  <c r="J486" i="2"/>
  <c r="J159" i="2"/>
  <c r="J868" i="2"/>
  <c r="J366" i="2"/>
  <c r="J142" i="2"/>
  <c r="J711" i="2"/>
  <c r="J1181" i="2"/>
  <c r="J628" i="2"/>
  <c r="J200" i="2"/>
  <c r="J1157" i="2"/>
  <c r="J1176" i="2"/>
  <c r="J110" i="2"/>
  <c r="J696" i="2"/>
  <c r="J1064" i="2"/>
  <c r="J480" i="2"/>
  <c r="J464" i="2"/>
  <c r="J59" i="2"/>
  <c r="J452" i="2"/>
  <c r="J1175" i="2"/>
  <c r="J1206" i="2"/>
  <c r="J715" i="2"/>
  <c r="J704" i="2"/>
  <c r="J57" i="2"/>
  <c r="J302" i="2"/>
  <c r="J625" i="2"/>
  <c r="J638" i="2"/>
  <c r="J757" i="2"/>
  <c r="J549" i="2"/>
  <c r="J42" i="2"/>
  <c r="J215" i="2"/>
  <c r="J55" i="2"/>
  <c r="J623" i="2"/>
  <c r="J642" i="2"/>
  <c r="J814" i="2"/>
  <c r="J554" i="2"/>
  <c r="J579" i="2"/>
  <c r="J11" i="2"/>
  <c r="J926" i="2"/>
  <c r="J725" i="2"/>
  <c r="J1162" i="2"/>
  <c r="J780" i="2"/>
  <c r="J475" i="2"/>
  <c r="J515" i="2"/>
  <c r="J502" i="2"/>
  <c r="J581" i="2"/>
  <c r="J986" i="2"/>
  <c r="J603" i="2"/>
  <c r="J578" i="2"/>
  <c r="J1073" i="2"/>
  <c r="J1056" i="2"/>
  <c r="J382" i="2"/>
  <c r="J126" i="2"/>
  <c r="J21" i="2"/>
  <c r="J212" i="2"/>
  <c r="J1140" i="2"/>
  <c r="J826" i="2"/>
  <c r="J227" i="2"/>
  <c r="J575" i="2"/>
  <c r="J745" i="2"/>
  <c r="J371" i="2"/>
  <c r="J189" i="2"/>
  <c r="J318" i="2"/>
  <c r="J232" i="2"/>
  <c r="J669" i="2"/>
  <c r="J924" i="2"/>
  <c r="J466" i="2"/>
  <c r="J533" i="2"/>
  <c r="J323" i="2"/>
  <c r="J1202" i="2"/>
  <c r="J158" i="2"/>
  <c r="J1065" i="2"/>
  <c r="J177" i="2"/>
  <c r="J989" i="2"/>
  <c r="J345" i="2"/>
  <c r="J27" i="2"/>
  <c r="J361" i="2"/>
  <c r="J47" i="2"/>
  <c r="J511" i="2"/>
  <c r="J987" i="2"/>
  <c r="J982" i="2"/>
  <c r="J729" i="2"/>
  <c r="J915" i="2"/>
  <c r="J805" i="2"/>
  <c r="J69" i="2"/>
  <c r="J682" i="2"/>
  <c r="J198" i="2"/>
  <c r="J919" i="2"/>
  <c r="J562" i="2"/>
  <c r="J23" i="2"/>
  <c r="J83" i="2"/>
  <c r="J807" i="2"/>
  <c r="J445" i="2"/>
  <c r="J1160" i="2"/>
  <c r="J683" i="2"/>
  <c r="J892" i="2"/>
  <c r="J536" i="2"/>
  <c r="J202" i="2"/>
  <c r="J341" i="2"/>
  <c r="J518" i="2"/>
  <c r="J573" i="2"/>
  <c r="J906" i="2"/>
  <c r="J795" i="2"/>
  <c r="J94" i="2"/>
  <c r="J1185" i="2"/>
  <c r="J588" i="2"/>
  <c r="J471" i="2"/>
  <c r="J1195" i="2"/>
  <c r="J33" i="2"/>
  <c r="J472" i="2"/>
  <c r="J381" i="2"/>
  <c r="J1158" i="2"/>
  <c r="J519" i="2"/>
  <c r="J871" i="2"/>
  <c r="J744" i="2"/>
  <c r="J968" i="2"/>
  <c r="J53" i="2"/>
  <c r="J966" i="2"/>
  <c r="J72" i="2"/>
  <c r="J132" i="2"/>
  <c r="J532" i="2"/>
  <c r="J140" i="2"/>
  <c r="J444" i="2"/>
  <c r="J498" i="2"/>
  <c r="J870" i="2"/>
  <c r="J1039" i="2"/>
  <c r="J857" i="2"/>
  <c r="J783" i="2"/>
  <c r="J1014" i="2"/>
  <c r="J653" i="2"/>
  <c r="J64" i="2"/>
  <c r="J1048" i="2"/>
  <c r="J691" i="2"/>
  <c r="J566" i="2"/>
  <c r="J465" i="2"/>
  <c r="J24" i="2"/>
  <c r="J969" i="2"/>
  <c r="J753" i="2"/>
  <c r="J599" i="2"/>
  <c r="J116" i="2"/>
  <c r="J440" i="2"/>
  <c r="J260" i="2"/>
  <c r="J399" i="2"/>
  <c r="J396" i="2"/>
  <c r="J520" i="2"/>
  <c r="J107" i="2"/>
  <c r="J684" i="2"/>
  <c r="J1042" i="2"/>
  <c r="J304" i="2"/>
  <c r="J218" i="2"/>
  <c r="J513" i="2"/>
  <c r="J918" i="2"/>
  <c r="J960" i="2"/>
  <c r="J723" i="2"/>
  <c r="J1193" i="2"/>
  <c r="J1024" i="2"/>
  <c r="J1159" i="2"/>
  <c r="J956" i="2"/>
  <c r="J676" i="2"/>
  <c r="J9" i="2"/>
  <c r="J374" i="2"/>
  <c r="J103" i="2"/>
  <c r="J865" i="2"/>
  <c r="J412" i="2"/>
  <c r="J916" i="2"/>
  <c r="J1070" i="2"/>
  <c r="J923" i="2"/>
  <c r="J610" i="2"/>
  <c r="J389" i="2"/>
  <c r="J501" i="2"/>
  <c r="J170" i="2"/>
  <c r="J393" i="2"/>
  <c r="J380" i="2"/>
  <c r="J689" i="2"/>
  <c r="J147" i="2"/>
  <c r="J931" i="2"/>
  <c r="J522" i="2"/>
  <c r="J331" i="2"/>
  <c r="J38" i="2"/>
  <c r="J920" i="2"/>
  <c r="J154" i="2"/>
  <c r="J173" i="2"/>
  <c r="J75" i="2"/>
  <c r="J606" i="2"/>
  <c r="J179" i="2"/>
  <c r="J768" i="2"/>
  <c r="J544" i="2"/>
  <c r="J632" i="2"/>
  <c r="J254" i="2"/>
  <c r="J850" i="2"/>
  <c r="J99" i="2"/>
  <c r="J1214" i="2"/>
  <c r="J1052" i="2"/>
  <c r="J257" i="2"/>
  <c r="J618" i="2"/>
  <c r="J358" i="2"/>
  <c r="J115" i="2"/>
  <c r="J567" i="2"/>
  <c r="J402" i="2"/>
  <c r="J903" i="2"/>
  <c r="J984" i="2"/>
  <c r="J261" i="2"/>
  <c r="J121" i="2"/>
  <c r="J864" i="2"/>
  <c r="J613" i="2"/>
  <c r="J505" i="2"/>
  <c r="J624" i="2"/>
  <c r="J660" i="2"/>
  <c r="J539" i="2"/>
  <c r="J785" i="2"/>
  <c r="J346" i="2"/>
  <c r="J481" i="2"/>
  <c r="J1163" i="2"/>
  <c r="J30" i="2"/>
  <c r="J241" i="2"/>
  <c r="J930" i="2"/>
  <c r="J334" i="2"/>
  <c r="J39" i="2"/>
  <c r="J1094" i="2"/>
  <c r="J151" i="2"/>
  <c r="J754" i="2"/>
  <c r="J420" i="2"/>
  <c r="J356" i="2"/>
  <c r="J590" i="2"/>
  <c r="J910" i="2"/>
  <c r="J1182" i="2"/>
  <c r="J86" i="2"/>
  <c r="J1053" i="2"/>
  <c r="J1143" i="2"/>
  <c r="J405" i="2"/>
  <c r="J1086" i="2"/>
  <c r="J31" i="2"/>
  <c r="J866" i="2"/>
  <c r="J403" i="2"/>
  <c r="J454" i="2"/>
  <c r="J657" i="2"/>
  <c r="J797" i="2"/>
  <c r="J622" i="2"/>
  <c r="J1187" i="2"/>
  <c r="J138" i="2"/>
  <c r="J282" i="2"/>
  <c r="J351" i="2"/>
  <c r="J461" i="2"/>
  <c r="J798" i="2"/>
  <c r="J157" i="2"/>
  <c r="J1148" i="2"/>
  <c r="J852" i="2"/>
  <c r="J784" i="2"/>
  <c r="J608" i="2"/>
  <c r="J843" i="2"/>
  <c r="J437" i="2"/>
  <c r="J756" i="2"/>
  <c r="J586" i="2"/>
  <c r="J576" i="2"/>
  <c r="J548" i="2"/>
  <c r="J1017" i="2"/>
  <c r="J446" i="2"/>
  <c r="J1044" i="2"/>
  <c r="J611" i="2"/>
  <c r="J707" i="2"/>
  <c r="J363" i="2"/>
  <c r="J939" i="2"/>
  <c r="J847" i="2"/>
  <c r="J80" i="2"/>
  <c r="J355" i="2"/>
  <c r="J25" i="2"/>
  <c r="J164" i="2"/>
  <c r="J558" i="2"/>
  <c r="J568" i="2"/>
  <c r="J946" i="2"/>
  <c r="J1167" i="2"/>
  <c r="J1047" i="2"/>
  <c r="J569" i="2"/>
  <c r="J40" i="2"/>
  <c r="J153" i="2"/>
  <c r="J514" i="2"/>
  <c r="J821" i="2"/>
  <c r="J671" i="2"/>
  <c r="J971" i="2"/>
  <c r="J97" i="2"/>
  <c r="J890" i="2"/>
  <c r="J540" i="2"/>
  <c r="J263" i="2"/>
  <c r="J127" i="2"/>
  <c r="J963" i="2"/>
  <c r="J884" i="2"/>
  <c r="J146" i="2"/>
  <c r="J1031" i="2"/>
  <c r="J794" i="2"/>
  <c r="J950" i="2"/>
  <c r="J667" i="2"/>
  <c r="J214" i="2"/>
  <c r="J1108" i="2"/>
  <c r="J1153" i="2"/>
  <c r="J1032" i="2"/>
  <c r="J22" i="2"/>
  <c r="J620" i="2"/>
  <c r="J769" i="2"/>
  <c r="J607" i="2"/>
  <c r="J651" i="2"/>
  <c r="J897" i="2"/>
  <c r="J951" i="2"/>
  <c r="J827" i="2"/>
  <c r="J929" i="2"/>
  <c r="J335" i="2"/>
  <c r="J1006" i="2"/>
  <c r="J1103" i="2"/>
  <c r="J1055" i="2"/>
  <c r="J1015" i="2"/>
  <c r="J1068" i="2"/>
  <c r="J430" i="2"/>
  <c r="J962" i="2"/>
  <c r="J1137" i="2"/>
  <c r="J1030" i="2"/>
  <c r="J680" i="2"/>
  <c r="J1007" i="2"/>
  <c r="J996" i="2"/>
  <c r="J580" i="2"/>
  <c r="J224" i="2"/>
  <c r="J799" i="2"/>
  <c r="J265" i="2"/>
  <c r="J993" i="2"/>
  <c r="J1078" i="2"/>
  <c r="J656" i="2"/>
  <c r="J541" i="2"/>
  <c r="J1141" i="2"/>
  <c r="J233" i="2"/>
  <c r="J664" i="2"/>
  <c r="J123" i="2"/>
  <c r="J772" i="2"/>
  <c r="J938" i="2"/>
  <c r="J649" i="2"/>
  <c r="J609" i="2"/>
  <c r="J378" i="2"/>
  <c r="J1054" i="2"/>
  <c r="J1101" i="2"/>
  <c r="J441" i="2"/>
  <c r="J793" i="2"/>
  <c r="J694" i="2"/>
  <c r="J188" i="2"/>
  <c r="J861" i="2"/>
  <c r="J268" i="2"/>
  <c r="J148" i="2"/>
  <c r="J1004" i="2"/>
  <c r="J907" i="2"/>
  <c r="J726" i="2"/>
  <c r="J111" i="2"/>
  <c r="J70" i="2"/>
  <c r="J758" i="2"/>
  <c r="J786" i="2"/>
  <c r="J297" i="2"/>
  <c r="J185" i="2"/>
  <c r="J782" i="2"/>
  <c r="J635" i="2"/>
  <c r="J735" i="2"/>
  <c r="J384" i="2"/>
  <c r="J815" i="2"/>
  <c r="J1168" i="2"/>
  <c r="J305" i="2"/>
  <c r="J277" i="2"/>
  <c r="J1183" i="2"/>
  <c r="J1067" i="2"/>
  <c r="J490" i="2"/>
  <c r="J192" i="2"/>
  <c r="J1104" i="2"/>
  <c r="J5" i="2"/>
  <c r="J545" i="2"/>
  <c r="J561" i="2"/>
  <c r="J353" i="2"/>
  <c r="J397" i="2"/>
  <c r="J766" i="2"/>
  <c r="J231" i="2"/>
  <c r="J631" i="2"/>
  <c r="J8" i="2"/>
  <c r="J551" i="2"/>
  <c r="J262" i="2"/>
  <c r="J482" i="2"/>
  <c r="J348" i="2"/>
  <c r="J829" i="2"/>
  <c r="J592" i="2"/>
  <c r="J92" i="2"/>
  <c r="J677" i="2"/>
  <c r="J957" i="2"/>
  <c r="J460" i="2"/>
  <c r="J109" i="2"/>
  <c r="J493" i="2"/>
  <c r="J324" i="2"/>
  <c r="J81" i="2"/>
  <c r="J977" i="2"/>
  <c r="J434" i="2"/>
  <c r="J427" i="2"/>
  <c r="J171" i="2"/>
  <c r="J479" i="2"/>
  <c r="J416" i="2"/>
  <c r="J106" i="2"/>
  <c r="J219" i="2"/>
  <c r="J84" i="2"/>
  <c r="J1129" i="2"/>
  <c r="J190" i="2"/>
  <c r="J659" i="2"/>
  <c r="J1011" i="2"/>
  <c r="J213" i="2"/>
  <c r="J456" i="2"/>
  <c r="J415" i="2"/>
  <c r="J803" i="2"/>
  <c r="J934" i="2"/>
  <c r="J1045" i="2"/>
  <c r="J314" i="2"/>
  <c r="J410" i="2"/>
  <c r="J695" i="2"/>
  <c r="J953" i="2"/>
  <c r="J180" i="2"/>
  <c r="J887" i="2"/>
  <c r="J970" i="2"/>
  <c r="J724" i="2"/>
  <c r="J332" i="2"/>
  <c r="J517" i="2"/>
  <c r="J862" i="2"/>
  <c r="J141" i="2"/>
  <c r="J20" i="2"/>
  <c r="J368" i="2"/>
  <c r="J883" i="2"/>
  <c r="J727" i="2"/>
  <c r="J1020" i="2"/>
  <c r="J1005" i="2"/>
  <c r="J583" i="2"/>
  <c r="J1197" i="2"/>
  <c r="J240" i="2"/>
  <c r="J896" i="2"/>
  <c r="J893" i="2"/>
  <c r="J895" i="2"/>
  <c r="J714" i="2"/>
  <c r="J447" i="2"/>
  <c r="J120" i="2"/>
  <c r="J296" i="2"/>
  <c r="J831" i="2"/>
  <c r="J816" i="2"/>
  <c r="J752" i="2"/>
  <c r="J73" i="2"/>
  <c r="J661" i="2"/>
  <c r="J275" i="2"/>
  <c r="J997" i="2"/>
  <c r="J1096" i="2"/>
  <c r="J1084" i="2"/>
  <c r="J899" i="2"/>
  <c r="J559" i="2"/>
  <c r="J1097" i="2"/>
  <c r="J1090" i="2"/>
  <c r="J1125" i="2"/>
  <c r="J1146" i="2"/>
  <c r="J637" i="2"/>
  <c r="J776" i="2"/>
  <c r="J499" i="2"/>
  <c r="J166" i="2"/>
  <c r="J802" i="2"/>
  <c r="J675" i="2"/>
  <c r="J406" i="2"/>
  <c r="J496" i="2"/>
  <c r="J194" i="2"/>
  <c r="J1200" i="2"/>
  <c r="J1013" i="2"/>
  <c r="J108" i="2"/>
  <c r="J525" i="2"/>
  <c r="J51" i="2"/>
  <c r="J186" i="2"/>
  <c r="J136" i="2"/>
  <c r="J572" i="2"/>
  <c r="J835" i="2"/>
  <c r="J407" i="2"/>
  <c r="J506" i="2"/>
  <c r="J901" i="2"/>
  <c r="J546" i="2"/>
  <c r="J781" i="2"/>
  <c r="J867" i="2"/>
  <c r="J1023" i="2"/>
  <c r="J468" i="2"/>
  <c r="J34" i="2"/>
  <c r="J1074" i="2"/>
  <c r="J593" i="2"/>
  <c r="J763" i="2"/>
  <c r="J1124" i="2"/>
  <c r="J747" i="2"/>
  <c r="J678" i="2"/>
  <c r="J985" i="2"/>
  <c r="J161" i="2"/>
  <c r="J221" i="2"/>
  <c r="J280" i="2"/>
  <c r="J226" i="2"/>
  <c r="J652" i="2"/>
  <c r="J531" i="2"/>
  <c r="J253" i="2"/>
  <c r="J409" i="2"/>
  <c r="J484" i="2"/>
  <c r="J1026" i="2"/>
  <c r="J242" i="2"/>
  <c r="J697" i="2"/>
  <c r="J172" i="2"/>
  <c r="J342" i="2"/>
  <c r="J1069" i="2"/>
  <c r="J1209" i="2"/>
  <c r="J605" i="2"/>
  <c r="J1051" i="2"/>
  <c r="J58" i="2"/>
  <c r="J804" i="2"/>
  <c r="J542" i="2"/>
  <c r="J1098" i="2"/>
  <c r="J1215" i="2"/>
  <c r="J1107" i="2"/>
  <c r="J817" i="2"/>
  <c r="J449" i="2"/>
  <c r="J251" i="2"/>
  <c r="J289" i="2"/>
  <c r="J292" i="2"/>
  <c r="J527" i="2"/>
  <c r="J706" i="2"/>
  <c r="J311" i="2"/>
  <c r="J1166" i="2"/>
  <c r="J538" i="2"/>
  <c r="J1110" i="2"/>
  <c r="J845" i="2"/>
  <c r="J834" i="2"/>
  <c r="J326" i="2"/>
  <c r="J1022" i="2"/>
  <c r="J450" i="2"/>
  <c r="J130" i="2"/>
  <c r="J418" i="2"/>
  <c r="J577" i="2"/>
  <c r="J470" i="2"/>
  <c r="J46" i="2"/>
  <c r="J183" i="2"/>
  <c r="J195" i="2"/>
  <c r="J417" i="2"/>
  <c r="J759" i="2"/>
  <c r="J252" i="2"/>
  <c r="J494" i="2"/>
  <c r="J1192" i="2"/>
  <c r="J89" i="2"/>
  <c r="J875" i="2"/>
  <c r="J1063" i="2"/>
  <c r="J595" i="2"/>
  <c r="J133" i="2"/>
  <c r="J357" i="2"/>
  <c r="J1117" i="2"/>
  <c r="J488" i="2"/>
  <c r="J197" i="2"/>
  <c r="J503" i="2"/>
  <c r="J469" i="2"/>
  <c r="J373" i="2"/>
  <c r="J1127" i="2"/>
  <c r="J258" i="2"/>
  <c r="J880" i="2"/>
  <c r="J62" i="2"/>
  <c r="J385" i="2"/>
  <c r="J321" i="2"/>
  <c r="J207" i="2"/>
  <c r="J1066" i="2"/>
  <c r="J761" i="2"/>
  <c r="J948" i="2"/>
  <c r="J589" i="2"/>
  <c r="J535" i="2"/>
  <c r="J1105" i="2"/>
  <c r="J898" i="2"/>
  <c r="J728" i="2"/>
  <c r="J668" i="2"/>
  <c r="J1076" i="2"/>
  <c r="J760" i="2"/>
  <c r="J1207" i="2"/>
  <c r="J1150" i="2"/>
  <c r="J1100" i="2"/>
  <c r="J1106" i="2"/>
  <c r="J1012" i="2"/>
  <c r="J78" i="2"/>
  <c r="J13" i="2"/>
  <c r="J76" i="2"/>
  <c r="J557" i="2"/>
  <c r="J1154" i="2"/>
  <c r="J1156" i="2"/>
  <c r="J841" i="2"/>
  <c r="J199" i="2"/>
  <c r="J163" i="2"/>
  <c r="J379" i="2"/>
  <c r="J85" i="2"/>
  <c r="J485" i="2"/>
  <c r="J249" i="2"/>
  <c r="J1177" i="2"/>
  <c r="J856" i="2"/>
  <c r="J840" i="2"/>
  <c r="J1049" i="2"/>
  <c r="J873" i="2"/>
  <c r="J155" i="2"/>
  <c r="J528" i="2"/>
  <c r="J1112" i="2"/>
  <c r="J104" i="2"/>
  <c r="J990" i="2"/>
  <c r="J49" i="2"/>
  <c r="J1091" i="2"/>
  <c r="J448" i="2"/>
  <c r="J521" i="2"/>
  <c r="J863" i="2"/>
  <c r="J1081" i="2"/>
  <c r="J1184" i="2"/>
  <c r="J882" i="2"/>
  <c r="J813" i="2"/>
  <c r="J909" i="2"/>
  <c r="J718" i="2"/>
  <c r="J68" i="2"/>
  <c r="J175" i="2"/>
  <c r="J14" i="2"/>
  <c r="J114" i="2"/>
  <c r="J398" i="2"/>
  <c r="J1003" i="2"/>
  <c r="J958" i="2"/>
  <c r="J125" i="2"/>
  <c r="J647" i="2"/>
  <c r="J1171" i="2"/>
  <c r="J400" i="2"/>
  <c r="J1134" i="2"/>
  <c r="J295" i="2"/>
  <c r="J1210" i="2"/>
  <c r="J467" i="2"/>
  <c r="J1089" i="2"/>
  <c r="J247" i="2"/>
  <c r="J205" i="2"/>
  <c r="J438" i="2"/>
  <c r="J411" i="2"/>
  <c r="J955" i="2"/>
  <c r="J1120" i="2"/>
  <c r="J530" i="2"/>
  <c r="J719" i="2"/>
  <c r="J291" i="2"/>
  <c r="J229" i="2"/>
  <c r="J330" i="2"/>
  <c r="J422" i="2"/>
  <c r="J117" i="2"/>
  <c r="J1060" i="2"/>
  <c r="J945" i="2"/>
  <c r="J774" i="2"/>
  <c r="J526" i="2"/>
  <c r="J299" i="2"/>
  <c r="J32" i="2"/>
  <c r="J300" i="2"/>
  <c r="J7" i="2"/>
  <c r="J687" i="2"/>
  <c r="J365" i="2"/>
  <c r="J1122" i="2"/>
  <c r="J836" i="2"/>
  <c r="J113" i="2"/>
  <c r="J1205" i="2"/>
  <c r="J167" i="2"/>
  <c r="J510" i="2"/>
  <c r="J552" i="2"/>
  <c r="J889" i="2"/>
  <c r="J975" i="2"/>
  <c r="J279" i="2"/>
  <c r="J708" i="2"/>
  <c r="J1144" i="2"/>
  <c r="J1169" i="2"/>
  <c r="J529" i="2"/>
  <c r="J749" i="2"/>
  <c r="J722" i="2"/>
  <c r="J584" i="2"/>
  <c r="J717" i="2"/>
  <c r="J820" i="2"/>
  <c r="J524" i="2"/>
  <c r="J473" i="2"/>
  <c r="J216" i="2"/>
  <c r="J1010" i="2"/>
  <c r="J313" i="2"/>
  <c r="J1083" i="2"/>
  <c r="J630" i="2"/>
  <c r="J1021" i="2"/>
  <c r="J1093" i="2"/>
  <c r="J367" i="2"/>
  <c r="J404" i="2"/>
  <c r="J617" i="2"/>
  <c r="J338" i="2"/>
  <c r="J612" i="2"/>
  <c r="J6" i="2"/>
  <c r="J954" i="2"/>
  <c r="J685" i="2"/>
  <c r="J1126" i="2"/>
  <c r="J935" i="2"/>
  <c r="J616" i="2"/>
  <c r="J1111" i="2"/>
  <c r="J720" i="2"/>
  <c r="J1147" i="2"/>
  <c r="J636" i="2"/>
  <c r="J118" i="2"/>
  <c r="J1138" i="2"/>
  <c r="J1136" i="2"/>
  <c r="J655" i="2"/>
  <c r="J633" i="2"/>
  <c r="J879" i="2"/>
  <c r="J1033" i="2"/>
  <c r="J285" i="2"/>
  <c r="J50" i="2"/>
  <c r="J839" i="2"/>
  <c r="J1118" i="2"/>
  <c r="J1155" i="2"/>
  <c r="J1199" i="2"/>
  <c r="J1057" i="2"/>
  <c r="J1119" i="2"/>
  <c r="J56" i="2"/>
  <c r="J824" i="2"/>
  <c r="J290" i="2"/>
  <c r="J63" i="2"/>
  <c r="J337" i="2"/>
  <c r="J325" i="2"/>
  <c r="J1161" i="2"/>
  <c r="J428" i="2"/>
  <c r="J1139" i="2"/>
  <c r="J601" i="2"/>
  <c r="J902" i="2"/>
  <c r="J208" i="2"/>
  <c r="J60" i="2"/>
  <c r="J352" i="2"/>
  <c r="J364" i="2"/>
  <c r="J614" i="2"/>
  <c r="J917" i="2"/>
  <c r="J239" i="2"/>
  <c r="J646" i="2"/>
  <c r="J88" i="2"/>
  <c r="J822" i="2"/>
  <c r="J362" i="2"/>
  <c r="J922" i="2"/>
  <c r="J91" i="2"/>
  <c r="J1102" i="2"/>
  <c r="J812" i="2"/>
  <c r="J1025" i="2"/>
  <c r="J1172" i="2"/>
  <c r="J1114" i="2"/>
  <c r="J347" i="2"/>
  <c r="J734" i="2"/>
  <c r="J979" i="2"/>
  <c r="J965" i="2"/>
  <c r="J1211" i="2"/>
  <c r="J391" i="2"/>
  <c r="J1174" i="2"/>
  <c r="J619" i="2"/>
  <c r="J1008" i="2"/>
  <c r="J497" i="2"/>
  <c r="J1018" i="2"/>
  <c r="J846" i="2"/>
  <c r="J640" i="2"/>
  <c r="J504" i="2"/>
  <c r="J925" i="2"/>
  <c r="J914" i="2"/>
  <c r="J209" i="2"/>
  <c r="J1196" i="2"/>
  <c r="J18" i="2"/>
  <c r="J1050" i="2"/>
  <c r="J1194" i="2"/>
  <c r="J100" i="2"/>
  <c r="J44" i="2"/>
  <c r="J77" i="2"/>
  <c r="J74" i="2"/>
  <c r="J721" i="2"/>
  <c r="J408" i="2"/>
  <c r="J1189" i="2"/>
  <c r="J596" i="2"/>
  <c r="J658" i="2"/>
  <c r="J220" i="2"/>
  <c r="J315" i="2"/>
  <c r="J681" i="2"/>
  <c r="J270" i="2"/>
  <c r="J550" i="2"/>
  <c r="J1142" i="2"/>
  <c r="J555" i="2"/>
  <c r="J523" i="2"/>
  <c r="J670" i="2"/>
  <c r="J1201" i="2"/>
  <c r="J927" i="2"/>
  <c r="J698" i="2"/>
  <c r="J1113" i="2"/>
  <c r="J244" i="2"/>
  <c r="J96" i="2"/>
  <c r="J1188" i="2"/>
  <c r="J122" i="2"/>
  <c r="J1043" i="2"/>
  <c r="J597" i="2"/>
  <c r="J1080" i="2"/>
  <c r="J307" i="2"/>
  <c r="J932" i="2"/>
  <c r="J851" i="2"/>
  <c r="J433" i="2"/>
  <c r="J591" i="2"/>
  <c r="J762" i="2"/>
  <c r="J878" i="2"/>
  <c r="J26" i="2"/>
  <c r="J779" i="2"/>
  <c r="J284" i="2"/>
  <c r="J105" i="2"/>
  <c r="J1041" i="2"/>
  <c r="J43" i="2"/>
  <c r="J28" i="2"/>
  <c r="J710" i="2"/>
  <c r="J131" i="2"/>
  <c r="J1164" i="2"/>
  <c r="J1036" i="2"/>
  <c r="J981" i="2"/>
  <c r="J894" i="2"/>
  <c r="J87" i="2"/>
  <c r="J264" i="2"/>
  <c r="J272" i="2"/>
  <c r="J344" i="2"/>
  <c r="J600" i="2"/>
  <c r="J693" i="2"/>
  <c r="J688" i="2"/>
  <c r="J181" i="2"/>
  <c r="J1002" i="2"/>
  <c r="J739" i="2"/>
  <c r="J516" i="2"/>
  <c r="J1087" i="2"/>
  <c r="J1027" i="2"/>
  <c r="J162" i="2"/>
  <c r="J298" i="2"/>
  <c r="J79" i="2"/>
  <c r="J716" i="2"/>
  <c r="J1115" i="2"/>
  <c r="J169" i="2"/>
  <c r="J750" i="2"/>
  <c r="J1028" i="2"/>
  <c r="J4" i="2"/>
  <c r="J98" i="2"/>
  <c r="J547" i="2"/>
  <c r="J790" i="2"/>
  <c r="J15" i="2"/>
  <c r="J1121" i="2"/>
  <c r="J1145" i="2"/>
  <c r="J809" i="2"/>
  <c r="J477" i="2"/>
  <c r="J888" i="2"/>
  <c r="J650" i="2"/>
  <c r="J730" i="2"/>
  <c r="J972" i="2"/>
  <c r="J933" i="2"/>
  <c r="J654" i="2"/>
  <c r="J792" i="2"/>
  <c r="J967" i="2"/>
  <c r="J940" i="2"/>
  <c r="J281" i="2"/>
  <c r="J370" i="2"/>
  <c r="J65" i="2"/>
  <c r="J823" i="2"/>
  <c r="J796" i="2"/>
  <c r="J1131" i="2"/>
  <c r="J534" i="2"/>
  <c r="J811" i="2"/>
  <c r="J329" i="2"/>
  <c r="J1072" i="2"/>
  <c r="J1075" i="2"/>
  <c r="J320" i="2"/>
  <c r="J832" i="2"/>
  <c r="J992" i="2"/>
  <c r="J336" i="2"/>
  <c r="J394" i="2"/>
  <c r="J1128" i="2"/>
  <c r="J255" i="2"/>
  <c r="J1001" i="2"/>
  <c r="J900" i="2"/>
  <c r="J308" i="2"/>
  <c r="J376" i="2"/>
  <c r="J187" i="2"/>
  <c r="J674" i="2"/>
  <c r="J327" i="2"/>
  <c r="J339" i="2"/>
  <c r="J322" i="2"/>
  <c r="J1029" i="2"/>
  <c r="J673" i="2"/>
  <c r="J333" i="2"/>
  <c r="J508" i="2"/>
  <c r="J705" i="2"/>
  <c r="J129" i="2"/>
  <c r="J1099" i="2"/>
  <c r="J818" i="2"/>
  <c r="J995" i="2"/>
  <c r="J425" i="2"/>
  <c r="J301" i="2"/>
  <c r="J206" i="2"/>
  <c r="J463" i="2"/>
  <c r="J149" i="2"/>
  <c r="J994" i="2"/>
  <c r="J819" i="2"/>
  <c r="J662" i="2"/>
  <c r="J1000" i="2"/>
  <c r="J424" i="2"/>
  <c r="J1092" i="2"/>
  <c r="J859" i="2"/>
  <c r="J267" i="2"/>
  <c r="J442" i="2"/>
  <c r="J343" i="2"/>
  <c r="J375" i="2"/>
  <c r="J833" i="2"/>
  <c r="J961" i="2"/>
  <c r="J1151" i="2"/>
  <c r="J777" i="2"/>
  <c r="J976" i="2"/>
  <c r="J443" i="2"/>
  <c r="J1077" i="2"/>
  <c r="J491" i="2"/>
  <c r="J853" i="2"/>
  <c r="J891" i="2"/>
  <c r="J455" i="2"/>
  <c r="J288" i="2"/>
  <c r="J419" i="2"/>
  <c r="J269" i="2"/>
  <c r="J755" i="2"/>
  <c r="J483" i="2"/>
  <c r="J95" i="2"/>
  <c r="J644" i="2"/>
  <c r="J740" i="2"/>
  <c r="J582" i="2"/>
  <c r="J738" i="2"/>
  <c r="J1179" i="2"/>
  <c r="J139" i="2"/>
  <c r="J369" i="2"/>
  <c r="J973" i="2"/>
  <c r="J228" i="2"/>
  <c r="J12" i="2"/>
  <c r="J952" i="2"/>
  <c r="J271" i="2"/>
  <c r="J855" i="2"/>
  <c r="J849" i="2"/>
  <c r="J556" i="2"/>
  <c r="J67" i="2"/>
  <c r="J553" i="2"/>
  <c r="J360" i="2"/>
  <c r="J908" i="2"/>
  <c r="J789" i="2"/>
  <c r="J71" i="2"/>
  <c r="J775" i="2"/>
  <c r="J937" i="2"/>
  <c r="J743" i="2"/>
  <c r="J319" i="2"/>
  <c r="J489" i="2"/>
  <c r="J101" i="2"/>
  <c r="J959" i="2"/>
  <c r="J61" i="2"/>
  <c r="J436" i="2"/>
  <c r="J848" i="2"/>
  <c r="J1180" i="2"/>
  <c r="J1009" i="2"/>
  <c r="J767" i="2"/>
  <c r="J944" i="2"/>
  <c r="J825" i="2"/>
  <c r="J904" i="2"/>
  <c r="J712" i="2"/>
  <c r="J451" i="2"/>
  <c r="J383" i="2"/>
  <c r="J276" i="2"/>
  <c r="J210" i="2"/>
  <c r="J983" i="2"/>
  <c r="J978" i="2"/>
  <c r="J234" i="2"/>
  <c r="J310" i="2"/>
  <c r="J943" i="2"/>
  <c r="J854" i="2"/>
  <c r="J594" i="2"/>
  <c r="J905" i="2"/>
  <c r="J287" i="2"/>
  <c r="J1095" i="2"/>
  <c r="J1109" i="2"/>
  <c r="J648" i="2"/>
  <c r="J571" i="2"/>
  <c r="J237" i="2"/>
  <c r="J178" i="2"/>
  <c r="J1061" i="2"/>
  <c r="J838" i="2"/>
  <c r="J564" i="2"/>
  <c r="J736" i="2"/>
  <c r="J585" i="2"/>
  <c r="J413" i="2"/>
  <c r="J303" i="2"/>
  <c r="J663" i="2"/>
  <c r="J679" i="2"/>
  <c r="J217" i="2"/>
  <c r="J193" i="2"/>
  <c r="J52" i="2"/>
  <c r="J563" i="2"/>
  <c r="J429" i="2"/>
  <c r="J947" i="2"/>
  <c r="J748" i="2"/>
  <c r="J152" i="2"/>
  <c r="J645" i="2"/>
  <c r="J1191" i="2"/>
  <c r="J1088" i="2"/>
  <c r="J1038" i="2"/>
  <c r="J881" i="2"/>
  <c r="J246" i="2"/>
  <c r="J176" i="2"/>
  <c r="J941" i="2"/>
  <c r="J191" i="2"/>
  <c r="J478" i="2"/>
  <c r="J174" i="2"/>
  <c r="J392" i="2"/>
  <c r="J641" i="2"/>
  <c r="J886" i="2"/>
  <c r="J703" i="2"/>
  <c r="J236" i="2"/>
  <c r="J462" i="2"/>
  <c r="J487" i="2"/>
  <c r="J145" i="2"/>
  <c r="J980" i="2"/>
  <c r="J800" i="2"/>
  <c r="J184" i="2"/>
  <c r="J810" i="2"/>
  <c r="J1165" i="2"/>
  <c r="J273" i="2"/>
  <c r="J602" i="2"/>
  <c r="J259" i="2"/>
  <c r="J639" i="2"/>
  <c r="J1198" i="2"/>
  <c r="J665" i="2"/>
  <c r="J765" i="2"/>
  <c r="J1019" i="2"/>
  <c r="J286" i="2"/>
  <c r="J316" i="2"/>
  <c r="J912" i="2"/>
  <c r="J732" i="2"/>
  <c r="J359" i="2"/>
  <c r="J509" i="2"/>
  <c r="J949" i="2"/>
  <c r="J340" i="2"/>
  <c r="J37" i="2"/>
  <c r="J741" i="2"/>
  <c r="J248" i="2"/>
  <c r="J1135" i="2"/>
  <c r="J492" i="2"/>
  <c r="J421" i="2"/>
  <c r="J709" i="2"/>
  <c r="J17" i="2"/>
  <c r="J54" i="2"/>
  <c r="J1170" i="2"/>
  <c r="J565" i="2"/>
  <c r="J742" i="2"/>
  <c r="J235" i="2"/>
  <c r="J874" i="2"/>
  <c r="J974" i="2"/>
  <c r="J570" i="2"/>
  <c r="J293" i="2"/>
  <c r="J1046" i="2"/>
  <c r="J808" i="2"/>
  <c r="J885" i="2"/>
  <c r="J746" i="2"/>
  <c r="J1071" i="2"/>
  <c r="J459" i="2"/>
  <c r="J936" i="2"/>
  <c r="J137" i="2"/>
  <c r="J876" i="2"/>
  <c r="J372" i="2"/>
  <c r="J168" i="2"/>
  <c r="J10" i="2"/>
  <c r="J872" i="2"/>
  <c r="J201" i="2"/>
  <c r="J431" i="2"/>
  <c r="J243" i="2"/>
  <c r="J350" i="2"/>
  <c r="J764" i="2"/>
  <c r="J1079" i="2"/>
  <c r="J119" i="2"/>
  <c r="J700" i="2"/>
  <c r="J19" i="2"/>
  <c r="J788" i="2"/>
  <c r="J204" i="2"/>
  <c r="J278" i="2"/>
  <c r="J203" i="2"/>
  <c r="J476" i="2"/>
  <c r="R21" i="6"/>
  <c r="R19" i="6"/>
  <c r="Q19" i="6"/>
  <c r="P19" i="6"/>
  <c r="O19" i="6"/>
  <c r="N19" i="6"/>
  <c r="M19" i="6"/>
  <c r="L19" i="6"/>
  <c r="K19" i="6"/>
  <c r="J19" i="6"/>
  <c r="I19" i="6"/>
  <c r="H48" i="6"/>
  <c r="H47" i="6"/>
  <c r="H46" i="6"/>
  <c r="H45" i="6"/>
  <c r="H44" i="6"/>
  <c r="H43" i="6"/>
  <c r="H42" i="6"/>
  <c r="H41" i="6"/>
  <c r="H40" i="6"/>
  <c r="H39" i="6"/>
  <c r="H38" i="6"/>
  <c r="H37" i="6"/>
  <c r="H36" i="6"/>
  <c r="H35" i="6"/>
  <c r="H34" i="6"/>
  <c r="H33" i="6"/>
  <c r="H32" i="6"/>
  <c r="H31" i="6"/>
  <c r="H30" i="6"/>
  <c r="H29" i="6"/>
  <c r="H28" i="6"/>
  <c r="H27" i="6"/>
  <c r="H26" i="6"/>
  <c r="H25" i="6"/>
  <c r="H24" i="6"/>
  <c r="H23" i="6"/>
  <c r="H22" i="6"/>
  <c r="I22" i="6" s="1"/>
  <c r="H21" i="6"/>
  <c r="M22" i="6" s="1"/>
  <c r="G19" i="6"/>
  <c r="F19" i="6"/>
  <c r="E19" i="6"/>
  <c r="D19" i="6"/>
  <c r="C19" i="6"/>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P21" i="6" s="1"/>
  <c r="C100" i="3"/>
  <c r="C99" i="3"/>
  <c r="C98" i="3"/>
  <c r="C97" i="3"/>
  <c r="C96" i="3"/>
  <c r="C95" i="3"/>
  <c r="C94" i="3"/>
  <c r="C93" i="3"/>
  <c r="C92" i="3"/>
  <c r="C91" i="3"/>
  <c r="C90" i="3"/>
  <c r="C89" i="3"/>
  <c r="E104" i="3"/>
  <c r="F104" i="3" s="1"/>
  <c r="G20" i="3"/>
  <c r="G19" i="3"/>
  <c r="B11" i="3"/>
  <c r="E55" i="1"/>
  <c r="D50" i="6"/>
  <c r="E18" i="3"/>
  <c r="E19" i="3"/>
  <c r="E20" i="3"/>
  <c r="B61" i="6" l="1"/>
  <c r="O21" i="6"/>
  <c r="N21" i="6"/>
  <c r="Q21" i="6"/>
  <c r="G69" i="6"/>
  <c r="M23" i="6"/>
  <c r="M24" i="6" s="1"/>
  <c r="M25" i="6" s="1"/>
  <c r="M26" i="6" s="1"/>
  <c r="M27" i="6" s="1"/>
  <c r="I23" i="6"/>
  <c r="I24" i="6" s="1"/>
  <c r="I25" i="6" s="1"/>
  <c r="I26" i="6" s="1"/>
  <c r="I27" i="6" s="1"/>
  <c r="I28" i="6" s="1"/>
  <c r="I29" i="6" s="1"/>
  <c r="I30" i="6" s="1"/>
  <c r="I31" i="6" s="1"/>
  <c r="I32" i="6" s="1"/>
  <c r="I33" i="6" s="1"/>
  <c r="I34" i="6" s="1"/>
  <c r="I35" i="6" s="1"/>
  <c r="I36" i="6" s="1"/>
  <c r="I37" i="6" s="1"/>
  <c r="I38" i="6" s="1"/>
  <c r="I39" i="6" s="1"/>
  <c r="I40" i="6" s="1"/>
  <c r="I41" i="6" s="1"/>
  <c r="I42" i="6" s="1"/>
  <c r="I43" i="6" s="1"/>
  <c r="I44" i="6" s="1"/>
  <c r="I45" i="6" s="1"/>
  <c r="I46" i="6" s="1"/>
  <c r="I47" i="6" s="1"/>
  <c r="I48" i="6" s="1"/>
  <c r="J22" i="6"/>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K22" i="6"/>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L22" i="6"/>
  <c r="L23" i="6" s="1"/>
  <c r="L24" i="6" s="1"/>
  <c r="L25" i="6" s="1"/>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D24" i="1"/>
  <c r="N138" i="2" s="1"/>
  <c r="C24" i="1"/>
  <c r="M138" i="2" s="1"/>
  <c r="N22" i="6"/>
  <c r="G68" i="6"/>
  <c r="H50" i="6"/>
  <c r="B24" i="1"/>
  <c r="E19" i="1"/>
  <c r="E11" i="3" s="1"/>
  <c r="H52" i="6" l="1"/>
  <c r="H54" i="6"/>
  <c r="H56" i="6" s="1"/>
  <c r="G70" i="6"/>
  <c r="G72" i="6" s="1"/>
  <c r="S21" i="6"/>
  <c r="T21" i="6" s="1"/>
  <c r="U21" i="6" s="1"/>
  <c r="C26" i="1"/>
  <c r="C28" i="1" s="1"/>
  <c r="P22" i="6"/>
  <c r="O22" i="6"/>
  <c r="N27" i="6"/>
  <c r="R27" i="6"/>
  <c r="M28" i="6"/>
  <c r="M29" i="6" s="1"/>
  <c r="M30" i="6" s="1"/>
  <c r="M31" i="6" s="1"/>
  <c r="M32" i="6" s="1"/>
  <c r="M33" i="6" s="1"/>
  <c r="M34" i="6" s="1"/>
  <c r="M35" i="6" s="1"/>
  <c r="M36" i="6" s="1"/>
  <c r="M37" i="6" s="1"/>
  <c r="M38" i="6" s="1"/>
  <c r="M39" i="6" s="1"/>
  <c r="M40" i="6" s="1"/>
  <c r="M41" i="6" s="1"/>
  <c r="M42" i="6" s="1"/>
  <c r="M43" i="6" s="1"/>
  <c r="M44" i="6" s="1"/>
  <c r="M45" i="6" s="1"/>
  <c r="M46" i="6" s="1"/>
  <c r="M47" i="6" s="1"/>
  <c r="M48" i="6" s="1"/>
  <c r="O27" i="6"/>
  <c r="P27" i="6"/>
  <c r="Q22" i="6"/>
  <c r="D26" i="1"/>
  <c r="D28" i="1" s="1"/>
  <c r="O23" i="6"/>
  <c r="P23" i="6"/>
  <c r="R22" i="6"/>
  <c r="Q27" i="6"/>
  <c r="E24" i="1"/>
  <c r="E35" i="1" s="1"/>
  <c r="E56" i="1" s="1"/>
  <c r="L138" i="2"/>
  <c r="I76" i="6"/>
  <c r="B26" i="1"/>
  <c r="S22" i="6" l="1"/>
  <c r="T22" i="6" s="1"/>
  <c r="U22" i="6" s="1"/>
  <c r="S27" i="6"/>
  <c r="T27" i="6" s="1"/>
  <c r="E26" i="1"/>
  <c r="O24" i="6"/>
  <c r="Q23" i="6"/>
  <c r="R23" i="6"/>
  <c r="Q24" i="6"/>
  <c r="P24" i="6"/>
  <c r="N23" i="6"/>
  <c r="P28" i="6"/>
  <c r="Q28" i="6"/>
  <c r="R28" i="6"/>
  <c r="O28" i="6"/>
  <c r="D35" i="1"/>
  <c r="C35" i="1"/>
  <c r="B28" i="1"/>
  <c r="E28" i="1" s="1"/>
  <c r="F34" i="3" l="1"/>
  <c r="F37" i="3" s="1"/>
  <c r="F39" i="3" s="1"/>
  <c r="D44" i="3" s="1"/>
  <c r="S100" i="3"/>
  <c r="T100" i="3" s="1"/>
  <c r="S99" i="3"/>
  <c r="T99" i="3" s="1"/>
  <c r="S98" i="3"/>
  <c r="T98" i="3" s="1"/>
  <c r="S97" i="3"/>
  <c r="T97" i="3" s="1"/>
  <c r="S96" i="3"/>
  <c r="T96" i="3" s="1"/>
  <c r="S95" i="3"/>
  <c r="T95" i="3" s="1"/>
  <c r="S94" i="3"/>
  <c r="T94" i="3" s="1"/>
  <c r="S93" i="3"/>
  <c r="T93" i="3" s="1"/>
  <c r="C3" i="6"/>
  <c r="N127" i="2"/>
  <c r="F11" i="3"/>
  <c r="F14" i="3" s="1"/>
  <c r="S23" i="6"/>
  <c r="T23" i="6" s="1"/>
  <c r="U23" i="6" s="1"/>
  <c r="R24" i="6"/>
  <c r="P26" i="6"/>
  <c r="P25" i="6"/>
  <c r="N24" i="6"/>
  <c r="O26" i="6"/>
  <c r="O25" i="6"/>
  <c r="Q26" i="6"/>
  <c r="Q25" i="6"/>
  <c r="Q29" i="6"/>
  <c r="O29" i="6"/>
  <c r="R29" i="6"/>
  <c r="N28" i="6"/>
  <c r="S28" i="6" s="1"/>
  <c r="T28" i="6" s="1"/>
  <c r="P29" i="6"/>
  <c r="E3" i="3"/>
  <c r="O127" i="2"/>
  <c r="E40" i="1"/>
  <c r="M127" i="2"/>
  <c r="F40" i="3" l="1"/>
  <c r="D45" i="3" s="1"/>
  <c r="C50" i="3" s="1"/>
  <c r="C14" i="6"/>
  <c r="J76" i="6" s="1"/>
  <c r="C13" i="6"/>
  <c r="C15" i="6"/>
  <c r="I81" i="6" s="1"/>
  <c r="C49" i="3"/>
  <c r="B49" i="3"/>
  <c r="O92" i="3"/>
  <c r="O91" i="3"/>
  <c r="O89" i="3"/>
  <c r="O90" i="3"/>
  <c r="D18" i="3"/>
  <c r="D19" i="3"/>
  <c r="D20" i="3"/>
  <c r="L7" i="2" s="1"/>
  <c r="F44" i="3"/>
  <c r="D78" i="3" s="1"/>
  <c r="S24" i="6"/>
  <c r="T24" i="6" s="1"/>
  <c r="U24" i="6" s="1"/>
  <c r="N26" i="6"/>
  <c r="N25" i="6"/>
  <c r="R26" i="6"/>
  <c r="R25" i="6"/>
  <c r="N29" i="6"/>
  <c r="S29" i="6" s="1"/>
  <c r="T29" i="6" s="1"/>
  <c r="O30" i="6"/>
  <c r="R30" i="6"/>
  <c r="P30" i="6"/>
  <c r="Q30" i="6"/>
  <c r="R89" i="3" l="1"/>
  <c r="R91" i="3"/>
  <c r="R92" i="3"/>
  <c r="F45" i="3"/>
  <c r="D79" i="3" s="1"/>
  <c r="R90" i="3"/>
  <c r="B50" i="3"/>
  <c r="J68" i="6"/>
  <c r="B25" i="3"/>
  <c r="C25" i="3"/>
  <c r="B27" i="3"/>
  <c r="C27" i="3"/>
  <c r="B26" i="3"/>
  <c r="C26" i="3"/>
  <c r="O102" i="3"/>
  <c r="I89" i="3"/>
  <c r="I92" i="3"/>
  <c r="I91" i="3"/>
  <c r="I90" i="3"/>
  <c r="L92" i="3"/>
  <c r="L89" i="3"/>
  <c r="L91" i="3"/>
  <c r="L90" i="3"/>
  <c r="F90" i="3"/>
  <c r="F92" i="3"/>
  <c r="F89" i="3"/>
  <c r="F91" i="3"/>
  <c r="F20" i="3"/>
  <c r="D77" i="3" s="1"/>
  <c r="F18" i="3"/>
  <c r="D75" i="3" s="1"/>
  <c r="F19" i="3"/>
  <c r="D76" i="3" s="1"/>
  <c r="O132" i="2"/>
  <c r="S26" i="6"/>
  <c r="T26" i="6" s="1"/>
  <c r="U26" i="6" s="1"/>
  <c r="S25" i="6"/>
  <c r="T25" i="6" s="1"/>
  <c r="U25" i="6" s="1"/>
  <c r="R31" i="6"/>
  <c r="O31" i="6"/>
  <c r="P31" i="6"/>
  <c r="Q31" i="6"/>
  <c r="N30" i="6"/>
  <c r="S30" i="6" s="1"/>
  <c r="T30" i="6" s="1"/>
  <c r="U27" i="6"/>
  <c r="C61" i="6"/>
  <c r="F46" i="3" l="1"/>
  <c r="G46" i="3" s="1"/>
  <c r="R102" i="3"/>
  <c r="D80" i="3"/>
  <c r="D50" i="3"/>
  <c r="S91" i="3"/>
  <c r="T91" i="3" s="1"/>
  <c r="S90" i="3"/>
  <c r="T90" i="3" s="1"/>
  <c r="S89" i="3"/>
  <c r="S92" i="3"/>
  <c r="T92" i="3" s="1"/>
  <c r="F50" i="3"/>
  <c r="E79" i="3" s="1"/>
  <c r="F79" i="3" s="1"/>
  <c r="V89" i="3"/>
  <c r="V92" i="3"/>
  <c r="F26" i="3"/>
  <c r="E76" i="3" s="1"/>
  <c r="F76" i="3" s="1"/>
  <c r="J91" i="3"/>
  <c r="K91" i="3" s="1"/>
  <c r="J92" i="3"/>
  <c r="K92" i="3" s="1"/>
  <c r="J89" i="3"/>
  <c r="K89" i="3" s="1"/>
  <c r="J90" i="3"/>
  <c r="K90" i="3" s="1"/>
  <c r="F27" i="3"/>
  <c r="E77" i="3" s="1"/>
  <c r="F77" i="3" s="1"/>
  <c r="M92" i="3"/>
  <c r="N92" i="3" s="1"/>
  <c r="M91" i="3"/>
  <c r="N91" i="3" s="1"/>
  <c r="M90" i="3"/>
  <c r="N90" i="3" s="1"/>
  <c r="M89" i="3"/>
  <c r="V91" i="3"/>
  <c r="F25" i="3"/>
  <c r="E75" i="3" s="1"/>
  <c r="G92" i="3"/>
  <c r="H92" i="3" s="1"/>
  <c r="G91" i="3"/>
  <c r="H91" i="3" s="1"/>
  <c r="G90" i="3"/>
  <c r="H90" i="3" s="1"/>
  <c r="G89" i="3"/>
  <c r="V90" i="3"/>
  <c r="L102" i="3"/>
  <c r="P94" i="3"/>
  <c r="P93" i="3"/>
  <c r="P92" i="3"/>
  <c r="P98" i="3"/>
  <c r="P91" i="3"/>
  <c r="P100" i="3"/>
  <c r="P90" i="3"/>
  <c r="P99" i="3"/>
  <c r="P89" i="3"/>
  <c r="P97" i="3"/>
  <c r="P96" i="3"/>
  <c r="P95" i="3"/>
  <c r="F49" i="3"/>
  <c r="E78" i="3" s="1"/>
  <c r="F78" i="3" s="1"/>
  <c r="D27" i="3"/>
  <c r="D49" i="3"/>
  <c r="D25" i="3"/>
  <c r="D26" i="3"/>
  <c r="F21" i="3"/>
  <c r="P32" i="6"/>
  <c r="O32" i="6"/>
  <c r="Q32" i="6"/>
  <c r="N31" i="6"/>
  <c r="S31" i="6" s="1"/>
  <c r="T31" i="6" s="1"/>
  <c r="R32" i="6"/>
  <c r="U28" i="6"/>
  <c r="G21" i="3" l="1"/>
  <c r="F75" i="3"/>
  <c r="F80" i="3" s="1"/>
  <c r="E80" i="3"/>
  <c r="F51" i="3"/>
  <c r="S102" i="3"/>
  <c r="T89" i="3"/>
  <c r="T102" i="3" s="1"/>
  <c r="M102" i="3"/>
  <c r="G102" i="3"/>
  <c r="K102" i="3"/>
  <c r="N89" i="3"/>
  <c r="N102" i="3" s="1"/>
  <c r="J102" i="3"/>
  <c r="H89" i="3"/>
  <c r="H102" i="3" s="1"/>
  <c r="Q95" i="3"/>
  <c r="W95" i="3"/>
  <c r="X95" i="3" s="1"/>
  <c r="W100" i="3"/>
  <c r="X100" i="3" s="1"/>
  <c r="Q100" i="3"/>
  <c r="W96" i="3"/>
  <c r="X96" i="3" s="1"/>
  <c r="Q96" i="3"/>
  <c r="W89" i="3"/>
  <c r="X89" i="3" s="1"/>
  <c r="Q89" i="3"/>
  <c r="P102" i="3"/>
  <c r="Q99" i="3"/>
  <c r="W99" i="3"/>
  <c r="X99" i="3" s="1"/>
  <c r="W91" i="3"/>
  <c r="X91" i="3" s="1"/>
  <c r="Q91" i="3"/>
  <c r="Q93" i="3"/>
  <c r="W93" i="3"/>
  <c r="X93" i="3" s="1"/>
  <c r="Q97" i="3"/>
  <c r="W97" i="3"/>
  <c r="X97" i="3" s="1"/>
  <c r="Q90" i="3"/>
  <c r="W90" i="3"/>
  <c r="X90" i="3" s="1"/>
  <c r="Q98" i="3"/>
  <c r="W98" i="3"/>
  <c r="X98" i="3" s="1"/>
  <c r="Q92" i="3"/>
  <c r="W92" i="3"/>
  <c r="X92" i="3" s="1"/>
  <c r="Q94" i="3"/>
  <c r="W94" i="3"/>
  <c r="X94" i="3" s="1"/>
  <c r="V102" i="3"/>
  <c r="L132" i="2" s="1"/>
  <c r="F102" i="3"/>
  <c r="F64" i="3"/>
  <c r="F28" i="3"/>
  <c r="F29" i="3" s="1"/>
  <c r="G29" i="3" s="1"/>
  <c r="O33" i="6"/>
  <c r="N32" i="6"/>
  <c r="S32" i="6" s="1"/>
  <c r="T32" i="6" s="1"/>
  <c r="Q33" i="6"/>
  <c r="R33" i="6"/>
  <c r="P33" i="6"/>
  <c r="U29" i="6"/>
  <c r="I102" i="3"/>
  <c r="F52" i="3" l="1"/>
  <c r="G52" i="3" s="1"/>
  <c r="F61" i="3"/>
  <c r="X102" i="3"/>
  <c r="N132" i="2" s="1"/>
  <c r="Q102" i="3"/>
  <c r="W102" i="3"/>
  <c r="M132" i="2" s="1"/>
  <c r="D60" i="3"/>
  <c r="F65" i="3"/>
  <c r="F66" i="3" s="1"/>
  <c r="Q34" i="6"/>
  <c r="R34" i="6"/>
  <c r="N33" i="6"/>
  <c r="S33" i="6" s="1"/>
  <c r="T33" i="6" s="1"/>
  <c r="P34" i="6"/>
  <c r="O34" i="6"/>
  <c r="U30" i="6"/>
  <c r="D61" i="3" l="1"/>
  <c r="F70" i="3"/>
  <c r="F69" i="3" s="1"/>
  <c r="P35" i="6"/>
  <c r="N34" i="6"/>
  <c r="S34" i="6" s="1"/>
  <c r="T34" i="6" s="1"/>
  <c r="R35" i="6"/>
  <c r="O35" i="6"/>
  <c r="Q35" i="6"/>
  <c r="U31" i="6"/>
  <c r="R36" i="6" l="1"/>
  <c r="O36" i="6"/>
  <c r="N35" i="6"/>
  <c r="S35" i="6" s="1"/>
  <c r="T35" i="6" s="1"/>
  <c r="Q36" i="6"/>
  <c r="P36" i="6"/>
  <c r="U32" i="6"/>
  <c r="Q37" i="6" l="1"/>
  <c r="N36" i="6"/>
  <c r="S36" i="6" s="1"/>
  <c r="T36" i="6" s="1"/>
  <c r="O37" i="6"/>
  <c r="P37" i="6"/>
  <c r="R37" i="6"/>
  <c r="U33" i="6"/>
  <c r="R38" i="6" l="1"/>
  <c r="Q38" i="6"/>
  <c r="P38" i="6"/>
  <c r="O38" i="6"/>
  <c r="N37" i="6"/>
  <c r="S37" i="6" s="1"/>
  <c r="T37" i="6" s="1"/>
  <c r="U34" i="6"/>
  <c r="N38" i="6" l="1"/>
  <c r="S38" i="6" s="1"/>
  <c r="T38" i="6" s="1"/>
  <c r="O39" i="6"/>
  <c r="Q39" i="6"/>
  <c r="P39" i="6"/>
  <c r="R39" i="6"/>
  <c r="U35" i="6"/>
  <c r="O40" i="6" l="1"/>
  <c r="P40" i="6"/>
  <c r="Q40" i="6"/>
  <c r="R40" i="6"/>
  <c r="N39" i="6"/>
  <c r="S39" i="6" s="1"/>
  <c r="T39" i="6" s="1"/>
  <c r="U36" i="6"/>
  <c r="R41" i="6" l="1"/>
  <c r="Q41" i="6"/>
  <c r="P41" i="6"/>
  <c r="N40" i="6"/>
  <c r="S40" i="6" s="1"/>
  <c r="T40" i="6" s="1"/>
  <c r="O41" i="6"/>
  <c r="U37" i="6"/>
  <c r="P42" i="6" l="1"/>
  <c r="N41" i="6"/>
  <c r="S41" i="6" s="1"/>
  <c r="T41" i="6" s="1"/>
  <c r="Q42" i="6"/>
  <c r="O42" i="6"/>
  <c r="R42" i="6"/>
  <c r="U38" i="6"/>
  <c r="N42" i="6" l="1"/>
  <c r="S42" i="6" s="1"/>
  <c r="T42" i="6" s="1"/>
  <c r="O43" i="6"/>
  <c r="Q43" i="6"/>
  <c r="R43" i="6"/>
  <c r="P43" i="6"/>
  <c r="U39" i="6"/>
  <c r="R44" i="6" l="1"/>
  <c r="Q44" i="6"/>
  <c r="O44" i="6"/>
  <c r="P44" i="6"/>
  <c r="N43" i="6"/>
  <c r="S43" i="6" s="1"/>
  <c r="T43" i="6" s="1"/>
  <c r="U40" i="6"/>
  <c r="P45" i="6" l="1"/>
  <c r="O45" i="6"/>
  <c r="N44" i="6"/>
  <c r="S44" i="6" s="1"/>
  <c r="T44" i="6" s="1"/>
  <c r="Q45" i="6"/>
  <c r="R45" i="6"/>
  <c r="U41" i="6"/>
  <c r="R46" i="6" l="1"/>
  <c r="Q46" i="6"/>
  <c r="N45" i="6"/>
  <c r="S45" i="6" s="1"/>
  <c r="T45" i="6" s="1"/>
  <c r="P46" i="6"/>
  <c r="O46" i="6"/>
  <c r="U42" i="6"/>
  <c r="N46" i="6" l="1"/>
  <c r="S46" i="6" s="1"/>
  <c r="T46" i="6" s="1"/>
  <c r="P48" i="6"/>
  <c r="P47" i="6"/>
  <c r="Q48" i="6"/>
  <c r="Q47" i="6"/>
  <c r="O48" i="6"/>
  <c r="O47" i="6"/>
  <c r="R48" i="6"/>
  <c r="R47" i="6"/>
  <c r="U43" i="6"/>
  <c r="N48" i="6" l="1"/>
  <c r="S48" i="6" s="1"/>
  <c r="T48" i="6" s="1"/>
  <c r="N47" i="6"/>
  <c r="S47" i="6" s="1"/>
  <c r="T47" i="6" s="1"/>
  <c r="U44" i="6"/>
  <c r="U45" i="6" l="1"/>
  <c r="U46" i="6" l="1"/>
  <c r="U47" i="6" l="1"/>
  <c r="U48" i="6" l="1"/>
  <c r="S50" i="6"/>
  <c r="T50" i="6" l="1"/>
  <c r="V50" i="6" s="1"/>
  <c r="S52" i="6"/>
  <c r="T52" i="6" s="1"/>
  <c r="U52" i="6" s="1"/>
  <c r="S54" i="6"/>
  <c r="T54" i="6" s="1"/>
  <c r="I77" i="6" s="1"/>
  <c r="I82" i="6" l="1"/>
  <c r="J77" i="6"/>
  <c r="U54" i="6"/>
  <c r="S56" i="6"/>
  <c r="T56" i="6" s="1"/>
  <c r="U56" i="6" s="1"/>
  <c r="I75" i="6"/>
  <c r="U50" i="6"/>
  <c r="I78" i="6" l="1"/>
  <c r="J75" i="6"/>
</calcChain>
</file>

<file path=xl/sharedStrings.xml><?xml version="1.0" encoding="utf-8"?>
<sst xmlns="http://schemas.openxmlformats.org/spreadsheetml/2006/main" count="8896" uniqueCount="6068">
  <si>
    <t>About the TIA Basic Payout Calculator</t>
  </si>
  <si>
    <t>Estimated District Allotment and Allotment Allocations</t>
  </si>
  <si>
    <t>2024-25</t>
  </si>
  <si>
    <t xml:space="preserve">Note: Because the model uses prior year allotment amounts and, in some cases, uses averages in its calculations, this model is to be used for planning purposes only. It is not intended to be used as a budgeting tool! </t>
  </si>
  <si>
    <t xml:space="preserve">Estimated District Allotment: This is an Estimate of Your Allotment Amount Based on 2024-25 TIA Amounts by Teacher Designation </t>
  </si>
  <si>
    <t>District Average Allotment Amounts</t>
  </si>
  <si>
    <r>
      <t xml:space="preserve">Directions: </t>
    </r>
    <r>
      <rPr>
        <sz val="11"/>
        <color theme="1"/>
        <rFont val="Calibri"/>
        <family val="2"/>
        <scheme val="minor"/>
      </rPr>
      <t>Use the drop-down menu below to select your district or charter LEA name from the list.</t>
    </r>
    <r>
      <rPr>
        <b/>
        <sz val="11"/>
        <color theme="1"/>
        <rFont val="Calibri"/>
        <family val="2"/>
        <scheme val="minor"/>
      </rPr>
      <t xml:space="preserve"> </t>
    </r>
    <r>
      <rPr>
        <sz val="11"/>
        <color theme="1"/>
        <rFont val="Calibri"/>
        <family val="2"/>
        <scheme val="minor"/>
      </rPr>
      <t xml:space="preserve">Your LEA's LEA-wide average allotment amounts for Recognized, Exemplary, and Master teachers will automatically fill in the cells to the right. The allotment amounts used here are from the </t>
    </r>
    <r>
      <rPr>
        <b/>
        <sz val="11"/>
        <color theme="1"/>
        <rFont val="Calibri"/>
        <family val="2"/>
        <scheme val="minor"/>
      </rPr>
      <t>2024-25</t>
    </r>
    <r>
      <rPr>
        <sz val="11"/>
        <color theme="1"/>
        <rFont val="Calibri"/>
        <family val="2"/>
        <scheme val="minor"/>
      </rPr>
      <t xml:space="preserve"> allotment calculations. </t>
    </r>
  </si>
  <si>
    <t>District or Charter LEA Number</t>
  </si>
  <si>
    <t>Recognized Allotment</t>
  </si>
  <si>
    <t>Exemplary Allotment</t>
  </si>
  <si>
    <t>Master Allotment</t>
  </si>
  <si>
    <t>DALLAS ISD 057905</t>
  </si>
  <si>
    <t>Estimate the Number of Designated Teachers: Make an Estimate of the Number of Designated Teachers You May Have</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</si>
  <si>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Enter the estimated total number of TIA-eligible teachers in your district or charter LEA in Cell E14. 
</t>
    </r>
    <r>
      <rPr>
        <b/>
        <sz val="11"/>
        <color theme="1"/>
        <rFont val="Calibri"/>
        <family val="2"/>
        <scheme val="minor"/>
      </rPr>
      <t>2)</t>
    </r>
    <r>
      <rPr>
        <sz val="11"/>
        <color theme="1"/>
        <rFont val="Calibri"/>
        <family val="2"/>
        <scheme val="minor"/>
      </rPr>
      <t xml:space="preserve"> Enter the percentage of TIA-eligible teachers expected to earn each designation level in the white cells on Row 17. Or, use the drop-down menus to select the default percentages of 13% of eligible teachers earning the Recognized designation, 15% earning the Exemplary designation, and 5% the Master designation. </t>
    </r>
    <r>
      <rPr>
        <b/>
        <sz val="11"/>
        <color theme="1"/>
        <rFont val="Calibri"/>
        <family val="2"/>
        <scheme val="minor"/>
      </rPr>
      <t>Note:</t>
    </r>
    <r>
      <rPr>
        <sz val="11"/>
        <color theme="1"/>
        <rFont val="Calibri"/>
        <family val="2"/>
        <scheme val="minor"/>
      </rPr>
      <t xml:space="preserve"> The statewide default percentages are determined as follows: Based on statewide performance standards the top 33% of teachers qualify for the Recognized designation or higher, the top 20% qualify for the Exemplary or higher, and the top 5% qualify for the Master designation. This results in 13% of teachers falling in the Recognized designation (33% minus 15% Recognized minus 5% Master), 15% falling in the Exemplary designation (20% minus 5% Master), and 5% falling in  the Master designation.   
</t>
    </r>
    <r>
      <rPr>
        <b/>
        <sz val="11"/>
        <color theme="1"/>
        <rFont val="Calibri"/>
        <family val="2"/>
        <scheme val="minor"/>
      </rPr>
      <t>3)</t>
    </r>
    <r>
      <rPr>
        <sz val="11"/>
        <color theme="1"/>
        <rFont val="Calibri"/>
        <family val="2"/>
        <scheme val="minor"/>
      </rPr>
      <t xml:space="preserve"> Row 24 summarizes the estimated amount of TIA revenues generated by the district.  Row 26 shows the amounts available for compensation costs if the minimum of 90% of the total allotment is allocated for this purpose. Row 28 shows the amount for LEA implementation support if the maximum of 10% of the total allotment amount is used.</t>
    </r>
  </si>
  <si>
    <t>Enter the Estimated Total Number of TIA Eligible Teachers in Your District or Charter LEA</t>
  </si>
  <si>
    <t>Recognized</t>
  </si>
  <si>
    <t>Exemplary</t>
  </si>
  <si>
    <t>Master</t>
  </si>
  <si>
    <t>Total</t>
  </si>
  <si>
    <t>Enter Your Estimated Percentage of Teachers by Designation Level</t>
  </si>
  <si>
    <t>Estimated Number of Teachers by Designation Level</t>
  </si>
  <si>
    <t xml:space="preserve">Estimated District Total Allotment: This is an Estimate of Your Total Allotment </t>
  </si>
  <si>
    <t>Estimated Total District or Charter LEA Allotment</t>
  </si>
  <si>
    <t>Minimum 90% Share Used for Teacher Compensation</t>
  </si>
  <si>
    <t xml:space="preserve">Maximum 10% Share Used for Implementation Support </t>
  </si>
  <si>
    <t>Manage the Distribution of Your Total Allotment</t>
  </si>
  <si>
    <r>
      <rPr>
        <b/>
        <sz val="11"/>
        <color theme="1"/>
        <rFont val="Calibri"/>
        <family val="2"/>
        <scheme val="minor"/>
      </rPr>
      <t>Directions:</t>
    </r>
    <r>
      <rPr>
        <sz val="11"/>
        <color theme="1"/>
        <rFont val="Calibri"/>
        <family val="2"/>
        <scheme val="minor"/>
      </rPr>
      <t xml:space="preserve"> In Cells C33 through E33 enter the percentage of your total TIA allocation that will be used for incentive payments to designated teachers, and to other eligible staff and/or for providing LEA TIA implementation supports - if you decide to use funds for either of these purposes. The percentages must total to 100%. Row 35 shows the resulting amounts for each of these allocation categories. These amounts are calculated by multiplying your total allotment by the percentages you entered in Row 33.</t>
    </r>
  </si>
  <si>
    <t>Designated Teachers</t>
  </si>
  <si>
    <t>Other Eligible Staff</t>
  </si>
  <si>
    <t>LEA Support (Max. of 10%)</t>
  </si>
  <si>
    <t xml:space="preserve">  Select the Percentage of Your Total Allotment for Each of the Following Purposes:</t>
  </si>
  <si>
    <t xml:space="preserve">   These are the Allotted Amounts Allocated Based on Your Percentages:</t>
  </si>
  <si>
    <t>Plan How You Will Use Your LEA Implementation Support Allocation (Allocating funds for support is not required. The maximum is 10%)</t>
  </si>
  <si>
    <r>
      <rPr>
        <b/>
        <sz val="11"/>
        <color theme="1"/>
        <rFont val="Calibri"/>
        <family val="2"/>
        <scheme val="minor"/>
      </rPr>
      <t>Directions:</t>
    </r>
    <r>
      <rPr>
        <sz val="11"/>
        <color theme="1"/>
        <rFont val="Calibri"/>
        <family val="2"/>
        <scheme val="minor"/>
      </rPr>
      <t xml:space="preserve"> Use this section to determine how your district or charter LEA will allocate its implementation support funds (up to a maximum of 10% of your total allotment). You may enter amounts for various allowable uses in the white cells in Rows 43 through 53. The total amount on Row 55 must equal the amount your allocated on Row 35.</t>
    </r>
  </si>
  <si>
    <t xml:space="preserve">   Amount Allocated for Implementation Support</t>
  </si>
  <si>
    <t xml:space="preserve">   Proposed Allocations for Support Activities: Enter an Amount for Each Activity You Propose to Support</t>
  </si>
  <si>
    <t xml:space="preserve">   Teacher professional development</t>
  </si>
  <si>
    <t xml:space="preserve">   TIA assessment costs</t>
  </si>
  <si>
    <t xml:space="preserve">   Other student growth costs</t>
  </si>
  <si>
    <t xml:space="preserve">   Teacher observation rubric costs</t>
  </si>
  <si>
    <t xml:space="preserve">   Teacher Observation  Rater Training or Certification Costs</t>
  </si>
  <si>
    <t xml:space="preserve">   Central office supports, including a TIA coordinator or HR enhancements </t>
  </si>
  <si>
    <t xml:space="preserve">   Staff compensation for TIA-related activities or professional development (e.g. school leaders or coaches)</t>
  </si>
  <si>
    <t xml:space="preserve">   The cost of employer-paid fringe benefits for eligible staff</t>
  </si>
  <si>
    <t xml:space="preserve">   Other Costs (please list)</t>
  </si>
  <si>
    <t xml:space="preserve">   Total Support Costs</t>
  </si>
  <si>
    <t xml:space="preserve">The two charts below summarize how your allotment was generated and how you allocated your allotment across designated teachers, other eligible staff, and LEA implementation support. </t>
  </si>
  <si>
    <t>Educator Fringe Benefits and Payroll Deductions Estimator</t>
  </si>
  <si>
    <t>This worksheet is used to estimate the cost of employer-paid fringe benefit costs and employee-paid payroll deductions associated with your district's stipend or salary incentives. The Total Fringe Benefit Percentages in Row 40 are used to estimate fringe benefit costs in the Stipend-Base Plan and Salary-Based Plan worksheets.</t>
  </si>
  <si>
    <t>Educator Fringe Benefit/Payroll Deduction Rate Entry Table</t>
  </si>
  <si>
    <r>
      <t xml:space="preserve">Directions: 
1) </t>
    </r>
    <r>
      <rPr>
        <sz val="12"/>
        <color theme="1"/>
        <rFont val="Calibri"/>
        <family val="2"/>
        <scheme val="minor"/>
      </rPr>
      <t xml:space="preserve">Use the white colored cells in Rows 8 through 19 to enter the percentage of total salary of each type of employee fringe benefit that applies in your district. If you do not know these percentages, please check with your district or charter LEA  business and/or payroll office for the current percentages. 
</t>
    </r>
    <r>
      <rPr>
        <b/>
        <sz val="12"/>
        <color theme="1"/>
        <rFont val="Calibri"/>
        <family val="2"/>
        <scheme val="minor"/>
      </rPr>
      <t>2)</t>
    </r>
    <r>
      <rPr>
        <sz val="12"/>
        <color theme="1"/>
        <rFont val="Calibri"/>
        <family val="2"/>
        <scheme val="minor"/>
      </rPr>
      <t xml:space="preserve"> The column for Employer Share represents amounts paid by your LEA as the employer. The amounts in the column for Employee Share are amounts deducted from employees' stipend or salary payments. 
</t>
    </r>
    <r>
      <rPr>
        <b/>
        <sz val="12"/>
        <color theme="1"/>
        <rFont val="Calibri"/>
        <family val="2"/>
        <scheme val="minor"/>
      </rPr>
      <t>3)</t>
    </r>
    <r>
      <rPr>
        <sz val="12"/>
        <color theme="1"/>
        <rFont val="Calibri"/>
        <family val="2"/>
        <scheme val="minor"/>
      </rPr>
      <t xml:space="preserve"> Use the check boxes to the right to select the benefits that apply to stipends if you have a stipends-only incentive plan, to total salaries if you have a salary-based compensation plan, or to both stipends and salary if you have a salary-based plan that also includes stipend incentives. 
</t>
    </r>
    <r>
      <rPr>
        <b/>
        <sz val="12"/>
        <color theme="1"/>
        <rFont val="Calibri"/>
        <family val="2"/>
        <scheme val="minor"/>
      </rPr>
      <t>4)</t>
    </r>
    <r>
      <rPr>
        <sz val="12"/>
        <color theme="1"/>
        <rFont val="Calibri"/>
        <family val="2"/>
        <scheme val="minor"/>
      </rPr>
      <t xml:space="preserve"> The Summary Table below shows the percentages for each benefit applicable to stipend and salary plans and the total percentage paid by the LEA and by the employee through deductions. The total percentages shown on Row 40 are used to calculate the employer-paid fringe benefit amounts in the Stipend-Based Plan and Salary-Based Plan tabs.
</t>
    </r>
    <r>
      <rPr>
        <b/>
        <sz val="12"/>
        <color rgb="FFFF0000"/>
        <rFont val="Calibri"/>
        <family val="2"/>
        <scheme val="minor"/>
      </rPr>
      <t>Note: This tool is intended for estimation purposes only. Please consult your business office or payroll office when determining final fringe benefit costs and payout amounts.</t>
    </r>
  </si>
  <si>
    <t>Enter the Percent of Total Salary</t>
  </si>
  <si>
    <t>Employer and Employee Shares of Fringe Benefits Costs</t>
  </si>
  <si>
    <t>Benefit/Deduction</t>
  </si>
  <si>
    <t>Employer Share</t>
  </si>
  <si>
    <t>Employee Share</t>
  </si>
  <si>
    <t>Check All that Apply to Stipends</t>
  </si>
  <si>
    <t>Check All that Apply to Total Salary</t>
  </si>
  <si>
    <t>Teacher Retirement System</t>
  </si>
  <si>
    <t>Use the cells to the right to enter the percentage for each fringe benefit or payroll deduction that applies to educator compensation.</t>
  </si>
  <si>
    <t>Social Security</t>
  </si>
  <si>
    <t>Medicare</t>
  </si>
  <si>
    <t>Workers' Compensation</t>
  </si>
  <si>
    <t>Unemployment Insurance - Federal</t>
  </si>
  <si>
    <t>Unemployment Insurance - State</t>
  </si>
  <si>
    <t>Paid Leave (Total of all that apply)</t>
  </si>
  <si>
    <t>Insurance (Total of all that apply)</t>
  </si>
  <si>
    <t>Federal Income Tax</t>
  </si>
  <si>
    <t>Other</t>
  </si>
  <si>
    <t>Total Fringe Benefit Percentage</t>
  </si>
  <si>
    <t>Summary Table of Fringe Benefit and Payroll Deduction Rates and Total Employer and Employee Rate</t>
  </si>
  <si>
    <t>For Stipend Plans</t>
  </si>
  <si>
    <t>For Salary Plans</t>
  </si>
  <si>
    <t>Benefit/Deduction Rates</t>
  </si>
  <si>
    <t>Benefit/Deduction Type</t>
  </si>
  <si>
    <t>Employer</t>
  </si>
  <si>
    <t>Employee</t>
  </si>
  <si>
    <t>Employer and Employ</t>
  </si>
  <si>
    <t>Shares of Fringe Benefits</t>
  </si>
  <si>
    <t>and Deduction Costs</t>
  </si>
  <si>
    <t>for Stipend and</t>
  </si>
  <si>
    <t>Salary-Based Plans</t>
  </si>
  <si>
    <t>Insurance</t>
  </si>
  <si>
    <t xml:space="preserve">   NOTE: These total percentages are used to calculate employer-paid fringe benefit amounts</t>
  </si>
  <si>
    <t xml:space="preserve">   in the Stipend-Based Plan and Salary-Based Plan tabs</t>
  </si>
  <si>
    <t>Stipend-Based Compensation Plan</t>
  </si>
  <si>
    <t>If your district or charter LEA is planning to offer stipend-based incentives, use this tab for estimating the amount of individual stipends, the total cost of stipends, and a payment schedule for paying out stipends to eligible staff.</t>
  </si>
  <si>
    <t xml:space="preserve"> % of Allotment</t>
  </si>
  <si>
    <t>Allotment Amount</t>
  </si>
  <si>
    <t>TIA Support Funds Reserved for Fringe Benefits</t>
  </si>
  <si>
    <t>Estimated Total District or Charter LEA Allotment Available for Compensation from Allotment Worksheet</t>
  </si>
  <si>
    <r>
      <t xml:space="preserve">Your Plan for a Stipend-Based Incentive. </t>
    </r>
    <r>
      <rPr>
        <sz val="12"/>
        <color theme="1"/>
        <rFont val="Calibri"/>
        <family val="2"/>
        <scheme val="minor"/>
      </rPr>
      <t>Use the following tables to design a stipend-based compensation plan for designated teachers and other eligible staff</t>
    </r>
  </si>
  <si>
    <r>
      <rPr>
        <b/>
        <sz val="12"/>
        <color theme="1"/>
        <rFont val="Calibri"/>
        <family val="2"/>
        <scheme val="minor"/>
      </rPr>
      <t xml:space="preserve">Directions: 
1) </t>
    </r>
    <r>
      <rPr>
        <sz val="12"/>
        <color theme="1"/>
        <rFont val="Calibri"/>
        <family val="2"/>
        <scheme val="minor"/>
      </rPr>
      <t xml:space="preserve">Rows 9 through 29 are used for setting the value of stipends you will pay to designated teachers. You may choose one of two methods for determining stipend values. Method 1 consists of directly entering the stipend amounts you want to pay in Cells C18, C19, and C20. Method 2 calculates the stipend amount based on the percentage of the total allotment for designated teachers reported in the Allotments worksheet to be allocated to each designation level. You may only use one method. Row 11 shows the amount of your educator compensation allotment that will be paid to designated teachers based on your allocation decisions made in the Allotments worksheet. 
</t>
    </r>
    <r>
      <rPr>
        <b/>
        <sz val="12"/>
        <color theme="1"/>
        <rFont val="Calibri"/>
        <family val="2"/>
        <scheme val="minor"/>
      </rPr>
      <t>2)</t>
    </r>
    <r>
      <rPr>
        <sz val="12"/>
        <color theme="1"/>
        <rFont val="Calibri"/>
        <family val="2"/>
        <scheme val="minor"/>
      </rPr>
      <t xml:space="preserve"> Rows 12 and 13 allow you to allocate part of your designated teachers allotment to pay for employer-paid fringe benefit costs. If you are using part of this allotment for benefits, select "Yes" using the drop down menu in Cell B12, otherwise select "No". If you selected "Yes", enter the amount to be used for benefits in Cell B13. 
</t>
    </r>
    <r>
      <rPr>
        <b/>
        <sz val="12"/>
        <color theme="1"/>
        <rFont val="Calibri"/>
        <family val="2"/>
        <scheme val="minor"/>
      </rPr>
      <t>3)</t>
    </r>
    <r>
      <rPr>
        <sz val="12"/>
        <color theme="1"/>
        <rFont val="Calibri"/>
        <family val="2"/>
        <scheme val="minor"/>
      </rPr>
      <t xml:space="preserve"> Use Rows 18 through 21 to set the stipend amount fore each designated teacher level. If you are using Method 1 to determine stipend amounts, enter the per teacher stipend amount for each designation level in Cells C18 through C20. Note the cost of these stipends must be equal to the available allocation shown in Cell F14. If you are using Method 1 be sure the percentages in Cells B18 through B20 are set to 0%.  If you are using the percentage method (Method 2) enter the percentage of the total allotment available for designated teachers that will fund stipends for Recognized teachers (Cell B18), Exemplary teachers (Cell B19), and Master teachers (Cell B20). The per teacher stipend amounts will be automatically calculated in Cells D18 through D20. Regardless of which method you use, the total cost of stipends by designation level and in total are shown in Cells F18 through F21.</t>
    </r>
  </si>
  <si>
    <t>Determine a stipend amount using one of two methods: 1) Calculate the stipend amount by entering a percentage of the total amount allocated for designated teachers for each designation level or 2) Enter a stipend amount directly.</t>
  </si>
  <si>
    <t>Stipends for Designated Teachers</t>
  </si>
  <si>
    <t>Method 1</t>
  </si>
  <si>
    <t>Method 2</t>
  </si>
  <si>
    <t>Determine a Stipend Amount by Designation Level</t>
  </si>
  <si>
    <t>Percent Allocated</t>
  </si>
  <si>
    <t>Entered Stipend Amount</t>
  </si>
  <si>
    <t>Calculated Stipend Amount</t>
  </si>
  <si>
    <t>Number of Eligible Teachers</t>
  </si>
  <si>
    <t>Total Amount Allocated</t>
  </si>
  <si>
    <t xml:space="preserve">   Total Amount Allocated for Compensation for Designated Teachers from Allotments tab    </t>
  </si>
  <si>
    <t xml:space="preserve">   Will All or a Portion of Employer-Paid Fringe Benefits be Paid Using These Funds?</t>
  </si>
  <si>
    <t>No</t>
  </si>
  <si>
    <t xml:space="preserve">   If "Yes", Enter Amount of Fringe Benefits to be Paid from Compensation Funds</t>
  </si>
  <si>
    <t xml:space="preserve">   Net Amount Available for Stipends for Designated Teachers</t>
  </si>
  <si>
    <t xml:space="preserve">   </t>
  </si>
  <si>
    <t xml:space="preserve">   Of the Amount Allocated for Designated Teachers, What Stipend Amount Should Go to Each Designation Level: (Enter Either Percentage or Amount)</t>
  </si>
  <si>
    <t xml:space="preserve">     Select the Percentage for Stipends  for Recognized Teachers OR Enter a Stipend Amount</t>
  </si>
  <si>
    <t xml:space="preserve">     Select the Percentage for Stipends  for Exemplary Teachers OR Enter a Stipend Amount</t>
  </si>
  <si>
    <t xml:space="preserve">     Select the Percentage for Stipends  for Master Teachers OR Enter a Stipend Amount</t>
  </si>
  <si>
    <t xml:space="preserve">    Total Cost of Stipends for Designated Teachers</t>
  </si>
  <si>
    <t>Employee and Employer-Paid Fringe Benefit Costs by Designation Level</t>
  </si>
  <si>
    <t>Employee Paid</t>
  </si>
  <si>
    <t>Employer- Paid</t>
  </si>
  <si>
    <t xml:space="preserve">                Total Employer-Paid</t>
  </si>
  <si>
    <t xml:space="preserve">                                                       (From Benefits Calculator Tab)</t>
  </si>
  <si>
    <t xml:space="preserve">                Fringe Benefits Costs</t>
  </si>
  <si>
    <t xml:space="preserve">     Fringe Benefit Amounts Per Recognized Teacher</t>
  </si>
  <si>
    <t xml:space="preserve">     Fringe Benefit Amounts Per Exemplary Teacher</t>
  </si>
  <si>
    <t xml:space="preserve">     Fringe Benefit Amounts Per Master Teacher</t>
  </si>
  <si>
    <t>Total Cost:</t>
  </si>
  <si>
    <t>Total Cost of Stipends and Employer-Paid Fringe Benefits for Designated Teachers</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</si>
  <si>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Rows 32 through 52 may be used for setting the value of stipends you will pay to other eligible staff. This model only allows for one stipend amount for other eligible certified staff and one for other eligible classified staff. Again, there are two methods for determining stipend amounts: under Method 1 you directly enter a stipend amount, under Method 2 the stipend amount is automatically calculated by dividing the amount allocated for other eligible certified and classified staff (shown in Cells D44 and D45) by the corresponding number of eligible staff receiving a stipend. 
</t>
    </r>
    <r>
      <rPr>
        <b/>
        <sz val="11"/>
        <color theme="1"/>
        <rFont val="Calibri"/>
        <family val="2"/>
        <scheme val="minor"/>
      </rPr>
      <t>2)</t>
    </r>
    <r>
      <rPr>
        <sz val="11"/>
        <color theme="1"/>
        <rFont val="Calibri"/>
        <family val="2"/>
        <scheme val="minor"/>
      </rPr>
      <t xml:space="preserve"> Rows 35 and 36 allow you to allocate part of your other eligible staff allotment to pay for fringe benefits. If you are using part of this allotment for benefits, select "Yes" using the drop down menu in Cell B35, otherwise select "No". If you selected "Yes", enter the amount to be used for benefits in Cell B36.  
</t>
    </r>
    <r>
      <rPr>
        <b/>
        <sz val="11"/>
        <color theme="1"/>
        <rFont val="Calibri"/>
        <family val="2"/>
        <scheme val="minor"/>
      </rPr>
      <t>3)</t>
    </r>
    <r>
      <rPr>
        <sz val="11"/>
        <color theme="1"/>
        <rFont val="Calibri"/>
        <family val="2"/>
        <scheme val="minor"/>
      </rPr>
      <t xml:space="preserve"> Use Cells B42 and B43 to enter the estimated number of certified and classified staff you expect to earn a stipend. These counts are used to determine the total cost of the stipends. 
</t>
    </r>
    <r>
      <rPr>
        <b/>
        <sz val="11"/>
        <color theme="1"/>
        <rFont val="Calibri"/>
        <family val="2"/>
        <scheme val="minor"/>
      </rPr>
      <t>4)</t>
    </r>
    <r>
      <rPr>
        <sz val="11"/>
        <color theme="1"/>
        <rFont val="Calibri"/>
        <family val="2"/>
        <scheme val="minor"/>
      </rPr>
      <t xml:space="preserve"> If you are using Method 1, enter the stipend amount to be paid to other eligible certified and/or classified staff in Cells C44 and C45. The total stipend amount must equal the net amount allocated for other eligible staff in Cell F37. 
</t>
    </r>
    <r>
      <rPr>
        <b/>
        <sz val="11"/>
        <color theme="1"/>
        <rFont val="Calibri"/>
        <family val="2"/>
        <scheme val="minor"/>
      </rPr>
      <t>5)</t>
    </r>
    <r>
      <rPr>
        <sz val="11"/>
        <color theme="1"/>
        <rFont val="Calibri"/>
        <family val="2"/>
        <scheme val="minor"/>
      </rPr>
      <t xml:space="preserve"> If you are using Method 2, first enter the percentages of the net amount allocated for other eligible staff that will be allocated to certified and/or classified staff in cells B39 and B40. The two percentages must total 100%. For example, if half of the total amount allocated for other eligible staff is to be used for certified staff and half for classified staff, you would enter 50% in each cell. The stipend amounts for each type of staff is automatically calculated in Cells D44 and D45. If you are using Method 2 make sure no stipend amounts are entered in Cells C44 or C45. 
</t>
    </r>
    <r>
      <rPr>
        <b/>
        <sz val="11"/>
        <color theme="1"/>
        <rFont val="Calibri"/>
        <family val="2"/>
        <scheme val="minor"/>
      </rPr>
      <t>6)</t>
    </r>
    <r>
      <rPr>
        <sz val="11"/>
        <color theme="1"/>
        <rFont val="Calibri"/>
        <family val="2"/>
        <scheme val="minor"/>
      </rPr>
      <t xml:space="preserve"> Rows 48 through 52 summarize the costs of employer and employee paid fringe benefits based on the stipend amounts you have selected.</t>
    </r>
  </si>
  <si>
    <t>Stipends for Other Eligible Staff</t>
  </si>
  <si>
    <t>Percentage Allocated</t>
  </si>
  <si>
    <t xml:space="preserve">   Total Amount Allocated for Compensation for Other Eligible Staff  from Allotments tab </t>
  </si>
  <si>
    <t xml:space="preserve">   Net Amount Available for Stipends for Other Eligible Staff</t>
  </si>
  <si>
    <r>
      <t xml:space="preserve">  Percent of Total Amount Allocated for Other Eligible </t>
    </r>
    <r>
      <rPr>
        <b/>
        <sz val="11"/>
        <color theme="1"/>
        <rFont val="Calibri"/>
        <family val="2"/>
        <scheme val="minor"/>
      </rPr>
      <t>Certified</t>
    </r>
    <r>
      <rPr>
        <sz val="11"/>
        <color theme="1"/>
        <rFont val="Calibri"/>
        <family val="2"/>
        <scheme val="minor"/>
      </rPr>
      <t xml:space="preserve"> Staff  </t>
    </r>
  </si>
  <si>
    <r>
      <t xml:space="preserve">  Percent of Total Amount Allocated for Other Eligible </t>
    </r>
    <r>
      <rPr>
        <b/>
        <sz val="11"/>
        <color theme="1"/>
        <rFont val="Calibri"/>
        <family val="2"/>
        <scheme val="minor"/>
      </rPr>
      <t>Classified</t>
    </r>
    <r>
      <rPr>
        <sz val="11"/>
        <color theme="1"/>
        <rFont val="Calibri"/>
        <family val="2"/>
        <scheme val="minor"/>
      </rPr>
      <t xml:space="preserve"> Staff  </t>
    </r>
  </si>
  <si>
    <r>
      <t xml:space="preserve">   Enter the Number of Other Eligible </t>
    </r>
    <r>
      <rPr>
        <b/>
        <sz val="11"/>
        <color theme="1"/>
        <rFont val="Calibri"/>
        <family val="2"/>
        <scheme val="minor"/>
      </rPr>
      <t>Certified</t>
    </r>
    <r>
      <rPr>
        <sz val="11"/>
        <color theme="1"/>
        <rFont val="Calibri"/>
        <family val="2"/>
        <scheme val="minor"/>
      </rPr>
      <t xml:space="preserve"> Staff Receiving a Stipend</t>
    </r>
  </si>
  <si>
    <r>
      <t xml:space="preserve">   Enter the Number of Other Eligible </t>
    </r>
    <r>
      <rPr>
        <b/>
        <sz val="11"/>
        <color theme="1"/>
        <rFont val="Calibri"/>
        <family val="2"/>
        <scheme val="minor"/>
      </rPr>
      <t>Classified</t>
    </r>
    <r>
      <rPr>
        <sz val="11"/>
        <color theme="1"/>
        <rFont val="Calibri"/>
        <family val="2"/>
        <scheme val="minor"/>
      </rPr>
      <t xml:space="preserve"> Staff Receiving a Stipend</t>
    </r>
  </si>
  <si>
    <r>
      <t xml:space="preserve">   Enter Stipend Amount for Other Eligible </t>
    </r>
    <r>
      <rPr>
        <b/>
        <sz val="11"/>
        <color theme="1"/>
        <rFont val="Calibri"/>
        <family val="2"/>
        <scheme val="minor"/>
      </rPr>
      <t>Certified</t>
    </r>
    <r>
      <rPr>
        <sz val="11"/>
        <color theme="1"/>
        <rFont val="Calibri"/>
        <family val="2"/>
        <scheme val="minor"/>
      </rPr>
      <t xml:space="preserve"> Staff OR Use Calculated Stipend Amount</t>
    </r>
  </si>
  <si>
    <r>
      <t xml:space="preserve">   Enter Stipend Amount for Other Eligible </t>
    </r>
    <r>
      <rPr>
        <b/>
        <sz val="11"/>
        <color theme="1"/>
        <rFont val="Calibri"/>
        <family val="2"/>
        <scheme val="minor"/>
      </rPr>
      <t xml:space="preserve">Classified </t>
    </r>
    <r>
      <rPr>
        <sz val="11"/>
        <color theme="1"/>
        <rFont val="Calibri"/>
        <family val="2"/>
        <scheme val="minor"/>
      </rPr>
      <t>Staff OR Use Calculated Stipend Amount</t>
    </r>
  </si>
  <si>
    <t xml:space="preserve">   Total Cost of Stipends for Other Eligible Staff</t>
  </si>
  <si>
    <t>Employee and Employer-Paid Fringe Benefit Costs for Other Eligible Staff</t>
  </si>
  <si>
    <t xml:space="preserve">     Fringe Benefit Amounts Per Eligible Certified Staff</t>
  </si>
  <si>
    <t xml:space="preserve">     Fringe Benefit Amounts Per Eligible Classified Staff</t>
  </si>
  <si>
    <t>Total Cost of Stipends and Employer-Paid Fringe Benefits for Other Eligible Staff</t>
  </si>
  <si>
    <r>
      <rPr>
        <b/>
        <sz val="11"/>
        <color theme="1"/>
        <rFont val="Calibri"/>
        <family val="2"/>
        <scheme val="minor"/>
      </rPr>
      <t>Directions:</t>
    </r>
    <r>
      <rPr>
        <sz val="11"/>
        <color theme="1"/>
        <rFont val="Calibri"/>
        <family val="2"/>
        <scheme val="minor"/>
      </rPr>
      <t xml:space="preserve"> Rows 58 through 62 show how funding sources are allocated to pay for employer-paid fringe benefit costs. These include the amount, if any, allocated from TIA LEA Support Funds as entered in the Allocations for Support Activities section of the Allotments tab; amounts, if any, allocated from designated teacher and other eligible staff compensation allotments from this tab; and other sources required to fully fund fringe benefit costs. This is a calculated amount.</t>
    </r>
  </si>
  <si>
    <t>Funding the Cost of Employer-Paid Fringe Benefits for Designated Teachers and Other Eligible Staff</t>
  </si>
  <si>
    <t>Total Cost</t>
  </si>
  <si>
    <t>Distribution of</t>
  </si>
  <si>
    <t xml:space="preserve">   Distribution of Funding Sources to Pay for Employer-Paid Fringe Benefits:</t>
  </si>
  <si>
    <t>Funding Sources</t>
  </si>
  <si>
    <t xml:space="preserve">   Employer-Paid Benefits Paid from TIA LEA Support Funds</t>
  </si>
  <si>
    <t xml:space="preserve">   Employer-Paid Benefits Paid from TIA Teacher Compensation Funds</t>
  </si>
  <si>
    <r>
      <t xml:space="preserve">   Percent of Employer-Paid Benefits that </t>
    </r>
    <r>
      <rPr>
        <b/>
        <sz val="11"/>
        <color theme="1"/>
        <rFont val="Calibri"/>
        <family val="2"/>
        <scheme val="minor"/>
      </rPr>
      <t>Must be Paid from Other Funding Sources</t>
    </r>
    <r>
      <rPr>
        <sz val="11"/>
        <color theme="1"/>
        <rFont val="Calibri"/>
        <family val="2"/>
        <scheme val="minor"/>
      </rPr>
      <t xml:space="preserve"> (Calculated)</t>
    </r>
  </si>
  <si>
    <t xml:space="preserve">  Total Funding for Employer-Paid Fringe Benefits for Designated Teachers</t>
  </si>
  <si>
    <t>Total Stipends and Employer-Paid Fringe Benefit Costs - Summary Table</t>
  </si>
  <si>
    <t xml:space="preserve">   Total Stipends</t>
  </si>
  <si>
    <t xml:space="preserve">   Total Employer-Paid Fringe Benefits</t>
  </si>
  <si>
    <t xml:space="preserve">   Total Stipends and Employer-Paid Fringe Benefits</t>
  </si>
  <si>
    <t xml:space="preserve">   Costs Charged to TIA Implementation Support Allotment</t>
  </si>
  <si>
    <t xml:space="preserve">   Costs Charged to TIA Educator Compensation Allotment</t>
  </si>
  <si>
    <r>
      <t xml:space="preserve">   Costs Charged to Other Non-TIA Funds </t>
    </r>
    <r>
      <rPr>
        <sz val="11"/>
        <color theme="1"/>
        <rFont val="Calibri"/>
        <family val="2"/>
        <scheme val="minor"/>
      </rPr>
      <t>(these funds must be allocated from other LEA sources)</t>
    </r>
  </si>
  <si>
    <t>Summary of District or Charter LEA Stipend and Fringe Benefit Costs by Eligible Position</t>
  </si>
  <si>
    <t>Gross Stipend Costs</t>
  </si>
  <si>
    <t>Employer Fringe Benefit Costs</t>
  </si>
  <si>
    <t xml:space="preserve"> Total Stipend and Fringe Benefit Costs</t>
  </si>
  <si>
    <t xml:space="preserve">     Total Cost of Gross Stipends and LEA-Paid Fringe Benefits for the Following Positions:</t>
  </si>
  <si>
    <t xml:space="preserve">       - Stipends  for Recognized Teachers</t>
  </si>
  <si>
    <t xml:space="preserve">      - Stipends for Exemplary Teachers</t>
  </si>
  <si>
    <t xml:space="preserve">      - Stipends for Master Teachers</t>
  </si>
  <si>
    <t xml:space="preserve">      - Stipends for Other Eligible Certified Staff</t>
  </si>
  <si>
    <t xml:space="preserve">      - Stipends for Other Eligible Classified Staff</t>
  </si>
  <si>
    <t xml:space="preserve">   Total Stipend and Fringe Benefit Costs</t>
  </si>
  <si>
    <r>
      <t xml:space="preserve">Your Plan for Stipend-Based Payouts. </t>
    </r>
    <r>
      <rPr>
        <sz val="11"/>
        <color theme="1"/>
        <rFont val="Calibri"/>
        <family val="2"/>
        <scheme val="minor"/>
      </rPr>
      <t>Use the following table to design a plan for the timing and amounts of stipend payments to eligible educators.</t>
    </r>
  </si>
  <si>
    <r>
      <rPr>
        <b/>
        <sz val="11"/>
        <color theme="1"/>
        <rFont val="Calibri"/>
        <family val="2"/>
        <scheme val="minor"/>
      </rPr>
      <t xml:space="preserve">Directions: </t>
    </r>
    <r>
      <rPr>
        <sz val="11"/>
        <color theme="1"/>
        <rFont val="Calibri"/>
        <family val="2"/>
        <scheme val="minor"/>
      </rPr>
      <t xml:space="preserve">Use this table to create a stipend payment plan for eligible staff. </t>
    </r>
    <r>
      <rPr>
        <b/>
        <sz val="11"/>
        <color theme="1"/>
        <rFont val="Calibri"/>
        <family val="2"/>
        <scheme val="minor"/>
      </rPr>
      <t>1)</t>
    </r>
    <r>
      <rPr>
        <sz val="11"/>
        <color theme="1"/>
        <rFont val="Calibri"/>
        <family val="2"/>
        <scheme val="minor"/>
      </rPr>
      <t xml:space="preserve"> Create your payment plan in the "Specify How Payments Will Be Made" section below. First, enter the number of payments in Cell B89. Up to 12 payments are allowed. Next, using the drop down menus under "Enter the Month of Payment", specify the months payments will be made. In the cells under "Enter Percentage Per Payment" enter the percentage of the total stipend amount that will be paid in each payment. </t>
    </r>
    <r>
      <rPr>
        <b/>
        <sz val="11"/>
        <color theme="1"/>
        <rFont val="Calibri"/>
        <family val="2"/>
        <scheme val="minor"/>
      </rPr>
      <t>2)</t>
    </r>
    <r>
      <rPr>
        <sz val="11"/>
        <color theme="1"/>
        <rFont val="Calibri"/>
        <family val="2"/>
        <scheme val="minor"/>
      </rPr>
      <t xml:space="preserve"> The total cost of each stipend payment is automatically calculated for each type of eligible staff in the columns to the right. These include the gross stipend amount, the amount of district-paid fringe benefits, and the total cost to the district or charter LEA. Note, these payment amounts represent the total cost of each payment made to all educators receiving a payment in each staff category (Rcognized Teachers, Exemplary Teachers, etc.).</t>
    </r>
  </si>
  <si>
    <t>District or Charter LEA Teacher Incentive Stipends and District-Paid Fringe Benefits Costs by Payment</t>
  </si>
  <si>
    <t>Specify How Payments Will Be Made</t>
  </si>
  <si>
    <t>Recognized Teachers</t>
  </si>
  <si>
    <t>Exemplary Teachers</t>
  </si>
  <si>
    <t>Master Teachers</t>
  </si>
  <si>
    <t>Other Eligible Certified Staff</t>
  </si>
  <si>
    <t>Other Eligible Classified Staff</t>
  </si>
  <si>
    <t>Total Cost of Stipend Payments</t>
  </si>
  <si>
    <t>Educator Stipend Payment Plan</t>
  </si>
  <si>
    <t>Enter Number of Payments</t>
  </si>
  <si>
    <t>Payment Number</t>
  </si>
  <si>
    <t>Enter Month of Payment</t>
  </si>
  <si>
    <t>Enter Percentage Per Payment</t>
  </si>
  <si>
    <t>Gross Stipend Payment</t>
  </si>
  <si>
    <t>LEA-paid Fringe Benefit Cost</t>
  </si>
  <si>
    <t>Total LEA Cost</t>
  </si>
  <si>
    <t>Use this table to design your educator stipend payment plan, including the number of payments, the month payments are made, and the amount of each payment. The columns to the right summarize the cost of each stipend payment, including the costs of the gross stipend payment and fringe benefits paid by your district or charter LEA.</t>
  </si>
  <si>
    <t xml:space="preserve">   Enter the total number of payments (Maximum of 12), the month(s) payments during</t>
  </si>
  <si>
    <t xml:space="preserve">   which payments will be made, and the percentage paid per payment.</t>
  </si>
  <si>
    <t xml:space="preserve">   Total Stipend + LEA-Paid Fringe Benefit Payment</t>
  </si>
  <si>
    <t xml:space="preserve">   Total Payment Percentage (Must equal 100%)</t>
  </si>
  <si>
    <t>Base Salary-Based Compensation Plan</t>
  </si>
  <si>
    <t>Amount</t>
  </si>
  <si>
    <t>Estimated District or Charter LEA Allotment Available for Compensation</t>
  </si>
  <si>
    <t>Enter Designation Levels from Your Local Designation System:</t>
  </si>
  <si>
    <r>
      <rPr>
        <b/>
        <sz val="11"/>
        <color theme="1"/>
        <rFont val="Calibri"/>
        <family val="2"/>
        <scheme val="minor"/>
      </rPr>
      <t>Directions:</t>
    </r>
    <r>
      <rPr>
        <sz val="11"/>
        <color theme="1"/>
        <rFont val="Calibri"/>
        <family val="2"/>
        <scheme val="minor"/>
      </rPr>
      <t xml:space="preserve"> In Rows 6 through 10 enter the designation categories of staff eligible to receive raises. These categories may correspond with the TIA designations of Recognized, Exemplary, and Master, or categories you created for your own local designation system. A maximum of five categories is allowed.</t>
    </r>
  </si>
  <si>
    <t>Salary-Based Payout Distribution</t>
  </si>
  <si>
    <t>Allocation Percentages</t>
  </si>
  <si>
    <t>Allocation Amounts</t>
  </si>
  <si>
    <t xml:space="preserve">   Enter the Percentage of Your Allotment Allocated for Salary-Based Raises</t>
  </si>
  <si>
    <t xml:space="preserve">   Enter the Percentage of Allotment for Add-On Stipends</t>
  </si>
  <si>
    <t xml:space="preserve">   Any Remaining Allotment Will be Used for the Cost of Employer-Paid Benefits</t>
  </si>
  <si>
    <t>Use the Table Below to Design a Salary-Based Incentive Consisting of Raises for One or More Categories of Eligible Staff.</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</si>
  <si>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The table in Rows 19 through 49 is where you develop the salary incentive plan for eligible staff.
</t>
    </r>
    <r>
      <rPr>
        <b/>
        <sz val="11"/>
        <color theme="1"/>
        <rFont val="Calibri"/>
        <family val="2"/>
        <scheme val="minor"/>
      </rPr>
      <t>2)</t>
    </r>
    <r>
      <rPr>
        <sz val="11"/>
        <color theme="1"/>
        <rFont val="Calibri"/>
        <family val="2"/>
        <scheme val="minor"/>
      </rPr>
      <t xml:space="preserve"> Enter the number of eligible staff FTE (e.g. the number of staff you expect to receive a raise) in each designation category in the cells in Columns C through G. In addition to the designation category, the FTE should also correspond with the current salary range within which each eligible staff FTE falls. For example, if your LEA potentially has 7.0 FTE Recognized teachers, the Recoganized teacher counts will be entered in Column C. Exemplary teacher counts will be entered in Column D, Master teacher counts in Column E, and so on. The counts for each level of teachers should be entered according to their salary range amount. For example, if you have 5.0 FTE Master teachers eligible for an incentive increase, Master teacher data will be entered in Column E. If  1.0 FTE Master teacher is in the $70,001-$75,000 salary range, enter 1.0 FTE in Cell E29. If 2.0 FTE of the Master teachers fall within the salary range $60,001-$65,000, enter the 2.0 FTE in Cell E27. Finally, if 1.0 FTE Master teacher falls in the salary range $50,001-$55,000, enter the 1.0 FTE in Cell E25. Do the same for any other designation categories used in your LEA. When these have been entered the estimated total current salary is calculated in Column H. This total current salary amount is calculated by multiplying the number of FTE in each salary range by the midpoint of the salary range. For example, the midpoint of salary range $45,001-$50,000 is $47,500. 
</t>
    </r>
    <r>
      <rPr>
        <b/>
        <sz val="11"/>
        <color theme="1"/>
        <rFont val="Calibri"/>
        <family val="2"/>
        <scheme val="minor"/>
      </rPr>
      <t xml:space="preserve">3) </t>
    </r>
    <r>
      <rPr>
        <sz val="11"/>
        <color theme="1"/>
        <rFont val="Calibri"/>
        <family val="2"/>
        <scheme val="minor"/>
      </rPr>
      <t xml:space="preserve">In Columns I through M enter the amount of the raise each designation category will receive in the Cells in Row 21. The table is set up to allow you to enter a different raise amount for each designation category, but if all categories will receive the same raise amount you simply enter the same raise amount in each applicable column. It is only necessary to enter the raise amounts in the first row of cells – Cells I21 through M21. The remaining cells will automatically populate with the raise amount. 
</t>
    </r>
    <r>
      <rPr>
        <b/>
        <sz val="11"/>
        <color theme="1"/>
        <rFont val="Calibri"/>
        <family val="2"/>
        <scheme val="minor"/>
      </rPr>
      <t>4)</t>
    </r>
    <r>
      <rPr>
        <sz val="11"/>
        <color theme="1"/>
        <rFont val="Calibri"/>
        <family val="2"/>
        <scheme val="minor"/>
      </rPr>
      <t xml:space="preserve"> Columns N through U of the table automatically calculate the new salary and cost information based on the number of FTEs and raise amounts you entered. Columns N through R show the new average salary amounts with the raise for each designation category and salary range combination. Column S shows the total cost of the new salaries while Column T shows the difference in total cost between the current and new salary amounts. Column U shows the percent increase in salary with the raises. 
</t>
    </r>
    <r>
      <rPr>
        <b/>
        <sz val="11"/>
        <color theme="1"/>
        <rFont val="Calibri"/>
        <family val="2"/>
        <scheme val="minor"/>
      </rPr>
      <t xml:space="preserve">5) </t>
    </r>
    <r>
      <rPr>
        <sz val="11"/>
        <color theme="1"/>
        <rFont val="Calibri"/>
        <family val="2"/>
        <scheme val="minor"/>
      </rPr>
      <t xml:space="preserve">Row 54 shows the applicable fringe benefit costs for current salaries in Cell H54 and for the new salaries (post raise) in Cell S54. The difference in cost between the two is calculated in Cell T54 and the percent increase in Cell U54. If TIA revenues will not be used to pay for fringe benefit costs, or will be paid out of LEA implementation support funds, the two fringe benefit amounts should be set to $0.
</t>
    </r>
    <r>
      <rPr>
        <b/>
        <sz val="11"/>
        <color theme="1"/>
        <rFont val="Calibri"/>
        <family val="2"/>
        <scheme val="minor"/>
      </rPr>
      <t> 6)</t>
    </r>
    <r>
      <rPr>
        <sz val="11"/>
        <color theme="1"/>
        <rFont val="Calibri"/>
        <family val="2"/>
        <scheme val="minor"/>
      </rPr>
      <t xml:space="preserve"> The total cost of the salary incentive and employer-paid fringe benefits is summarized on Row 56. </t>
    </r>
  </si>
  <si>
    <t>Change in</t>
  </si>
  <si>
    <t>Percent Base</t>
  </si>
  <si>
    <t>Original Base Salary Range</t>
  </si>
  <si>
    <t>Number of Teacher FTEs</t>
  </si>
  <si>
    <t>Total Original Base Salary</t>
  </si>
  <si>
    <t>Flat Amount-Based Raise</t>
  </si>
  <si>
    <t>New Average Base Salary</t>
  </si>
  <si>
    <t>Total New Base Salary</t>
  </si>
  <si>
    <t>Total Base Salary Costs</t>
  </si>
  <si>
    <t>Salary Increase</t>
  </si>
  <si>
    <r>
      <rPr>
        <b/>
        <sz val="11"/>
        <color theme="1"/>
        <rFont val="Calibri"/>
        <family val="2"/>
        <scheme val="minor"/>
      </rPr>
      <t xml:space="preserve">Directions: </t>
    </r>
    <r>
      <rPr>
        <sz val="11"/>
        <color theme="1"/>
        <rFont val="Calibri"/>
        <family val="2"/>
        <scheme val="minor"/>
      </rPr>
      <t xml:space="preserve">Enter the number of eligible teacher FTEs for each or your LEA's teacher designations by salary range level. For example, if your LEA has 1.0 FTE NBPTS teachers and 2.0 FTE Highly Effective teachers in the $55,001-$60,000 salary range, enter 1.0 in column C, Row 26 (NBPTS Number of Teacher FTEs) and 2.0 in column E, row 26 (Highly Effective Number of Teacher FTEs).                                                                                                                                                                                                       In columns I through M enter the amount of the raise in salary for each teacher designation type. You only need to enter the raise amounts in the first row of the table (Row 21), the remaining rows will be filled automatically. If your plan is to provide the same raise amount for all designation types, enter the same raise amount in each column.                                                                                                                                                                                                                                                                                      </t>
    </r>
  </si>
  <si>
    <t>$30,000-$35,000</t>
  </si>
  <si>
    <t>$35,001-$40,000</t>
  </si>
  <si>
    <t>$40,001-$45,000</t>
  </si>
  <si>
    <t>$45,001-$50,000</t>
  </si>
  <si>
    <t>$50,001-$55,000</t>
  </si>
  <si>
    <t>$55,001-$60,000</t>
  </si>
  <si>
    <t>$60,001-$65,000</t>
  </si>
  <si>
    <t>$65,001-$70,000</t>
  </si>
  <si>
    <t>$70,001-$75,000</t>
  </si>
  <si>
    <t>$75,001-$80,000</t>
  </si>
  <si>
    <t>$80,001-$85,000</t>
  </si>
  <si>
    <t>$85,001-$90,000</t>
  </si>
  <si>
    <t>$90,001-$95,000</t>
  </si>
  <si>
    <t>$95,001-$100,000</t>
  </si>
  <si>
    <t>$100,001-$105,000</t>
  </si>
  <si>
    <t>$105,001-$110,000</t>
  </si>
  <si>
    <t>$110,001-$115,000</t>
  </si>
  <si>
    <t>$115,001-$120,000</t>
  </si>
  <si>
    <t>$120,001-$125,000</t>
  </si>
  <si>
    <t>$125,001-$130,000</t>
  </si>
  <si>
    <t>$130,001-$135,000</t>
  </si>
  <si>
    <t>$135,001-$140,000</t>
  </si>
  <si>
    <t>$140,001-$145,000</t>
  </si>
  <si>
    <t>$145,001-$150,000</t>
  </si>
  <si>
    <t>$150,001-$155,000</t>
  </si>
  <si>
    <t>$155,001-$160,000</t>
  </si>
  <si>
    <t>$160,001-$165,000</t>
  </si>
  <si>
    <t>$165,001-$170,000</t>
  </si>
  <si>
    <t>Salary Totals</t>
  </si>
  <si>
    <t xml:space="preserve">   Average Base Salary</t>
  </si>
  <si>
    <t xml:space="preserve"> Total Employer-Paid Fringe Benefit Amount </t>
  </si>
  <si>
    <t>Total Salary Plus Employer-Paid Fringe Benefits</t>
  </si>
  <si>
    <t>Use this Table to Design Add-On Stipends for Incentivizing Staff Retention and/or Certain Roles within the District or Charter LEA.</t>
  </si>
  <si>
    <r>
      <rPr>
        <b/>
        <sz val="11"/>
        <color theme="1"/>
        <rFont val="Calibri"/>
        <family val="2"/>
        <scheme val="minor"/>
      </rPr>
      <t xml:space="preserve">Directions: 
1) </t>
    </r>
    <r>
      <rPr>
        <sz val="11"/>
        <color theme="1"/>
        <rFont val="Calibri"/>
        <family val="2"/>
        <scheme val="minor"/>
      </rPr>
      <t xml:space="preserve">The table in Rows 60 through 70 may be used to design a set of supplemental stipends for specific purposes. Rows for retention stipends and incentive stipends for hard to staff subject areas and schools are built into the table. Two additional rows of stipends are available for designing stipends specific to your LEA’s needs. 
</t>
    </r>
    <r>
      <rPr>
        <b/>
        <sz val="11"/>
        <color theme="1"/>
        <rFont val="Calibri"/>
        <family val="2"/>
        <scheme val="minor"/>
      </rPr>
      <t>2)</t>
    </r>
    <r>
      <rPr>
        <sz val="11"/>
        <color theme="1"/>
        <rFont val="Calibri"/>
        <family val="2"/>
        <scheme val="minor"/>
      </rPr>
      <t xml:space="preserve"> Row 61 provides a summary of the amount of TIA funds allocated for these types of stipends. 
</t>
    </r>
    <r>
      <rPr>
        <b/>
        <sz val="11"/>
        <color theme="1"/>
        <rFont val="Calibri"/>
        <family val="2"/>
        <scheme val="minor"/>
      </rPr>
      <t>3)</t>
    </r>
    <r>
      <rPr>
        <sz val="11"/>
        <color theme="1"/>
        <rFont val="Calibri"/>
        <family val="2"/>
        <scheme val="minor"/>
      </rPr>
      <t xml:space="preserve"> Stipend amounts for up to four different stipends may be entered in Cells D63 through D66. Your estimate of the number of eligible staff receiving each type of stipend is entered in Cells E63 through E66. The table uses these two sets of numbers to estimate the total cost of the stipends in Cells G63 through G66.</t>
    </r>
  </si>
  <si>
    <t>Add-On Stipends</t>
  </si>
  <si>
    <t>Allotted Percentage</t>
  </si>
  <si>
    <t>Allotted Amount</t>
  </si>
  <si>
    <t>Stipend Amount</t>
  </si>
  <si>
    <t>Participating Teachers</t>
  </si>
  <si>
    <t>Total Stipend Cost</t>
  </si>
  <si>
    <t xml:space="preserve">   Allotment for Add-On Stipends</t>
  </si>
  <si>
    <t xml:space="preserve"> -  Enter Retention Stipend Amount and Number of Participating Teacher FTEs</t>
  </si>
  <si>
    <t xml:space="preserve"> -  Enter Hard-to-Staff School/Subject Stipend Amount and Number of Participating Teacher FTEs</t>
  </si>
  <si>
    <t xml:space="preserve"> -  Enter Other Stipend Type Amount and Number of Participating Teacher FTEs</t>
  </si>
  <si>
    <t xml:space="preserve">   Total Cost of Add-On Stipends</t>
  </si>
  <si>
    <t xml:space="preserve">   Average Stipend Amount Earned</t>
  </si>
  <si>
    <t xml:space="preserve">   Total Employer-Paid Fringe Benefit Amount </t>
  </si>
  <si>
    <t>Total Stipends Plus Fringe Benefit Costs</t>
  </si>
  <si>
    <r>
      <rPr>
        <b/>
        <sz val="11"/>
        <color theme="1"/>
        <rFont val="Calibri"/>
        <family val="2"/>
        <scheme val="minor"/>
      </rPr>
      <t>Directions:</t>
    </r>
    <r>
      <rPr>
        <sz val="11"/>
        <color theme="1"/>
        <rFont val="Calibri"/>
        <family val="2"/>
        <scheme val="minor"/>
      </rPr>
      <t xml:space="preserve"> The Summary Table below presents the total cost of your salary-based incentive plan, including the costs of salary-based raises, any applicable supplemental stipends, and employer-paid fringe benefits. If all costs are to be paid from the TIA allotment amount allocated to compensation (see Cell C3 above) then the Total Plan Costs must equal that amount. If the total cost is greater than the TIA compensation allocation, the additional cost shown in Cell I82 must be paid for from other funding sources such as your General Fund.</t>
    </r>
  </si>
  <si>
    <t>Summary Table: Total Compensation Plan Additional Costs</t>
  </si>
  <si>
    <t xml:space="preserve">   Salary-Based Raises</t>
  </si>
  <si>
    <t xml:space="preserve">   Stipends</t>
  </si>
  <si>
    <t>Total Plan Costs</t>
  </si>
  <si>
    <t xml:space="preserve">  Employer-Paid Fringe Benefit Cost Offsets:</t>
  </si>
  <si>
    <t xml:space="preserve">       LEA Implementation Support Funds Allocated to Fringe Benefit Costs (From Allotments tab)</t>
  </si>
  <si>
    <t xml:space="preserve">       TIA Compensation Funds Allocated to Fringe Benefit Costs (From cell C15)</t>
  </si>
  <si>
    <t xml:space="preserve">      Net Fringe Benefit Costs that Must Be Paid From Other Funding Sources (If this amount is negative, benefits costs are less than available cost offsets)</t>
  </si>
  <si>
    <t>Planning Notes Page</t>
  </si>
  <si>
    <t>2024-25 TIA Allotment Amounts from 24-25 RAD File_District Averages.xls</t>
  </si>
  <si>
    <t>[Used Vlookup to insert new amounts into existing table]</t>
  </si>
  <si>
    <t>Percentage of Eligible by Designation Level</t>
  </si>
  <si>
    <t>Will Benefits be Paid from Compensation Funds?</t>
  </si>
  <si>
    <t>District Name and No.</t>
  </si>
  <si>
    <t>District number</t>
  </si>
  <si>
    <t>Campus name</t>
  </si>
  <si>
    <t>District name</t>
  </si>
  <si>
    <t>Region</t>
  </si>
  <si>
    <t>SD Ave Code</t>
  </si>
  <si>
    <t>SD No</t>
  </si>
  <si>
    <t>Yes</t>
  </si>
  <si>
    <t>057829</t>
  </si>
  <si>
    <t>A+ ACADEMY</t>
  </si>
  <si>
    <t>10</t>
  </si>
  <si>
    <t>6,608</t>
  </si>
  <si>
    <t>13,217</t>
  </si>
  <si>
    <t>24,028</t>
  </si>
  <si>
    <t>000</t>
  </si>
  <si>
    <t>101871</t>
  </si>
  <si>
    <t>A+ UNLIMITED POTENTIAL</t>
  </si>
  <si>
    <t>04</t>
  </si>
  <si>
    <t>6,200</t>
  </si>
  <si>
    <t>12,399</t>
  </si>
  <si>
    <t>22,665</t>
  </si>
  <si>
    <t>109901</t>
  </si>
  <si>
    <t>ABBOTT ISD</t>
  </si>
  <si>
    <t>12</t>
  </si>
  <si>
    <t>5,323</t>
  </si>
  <si>
    <t>10,646</t>
  </si>
  <si>
    <t>19,744</t>
  </si>
  <si>
    <t>Master Default Stipend Amount</t>
  </si>
  <si>
    <t>095901</t>
  </si>
  <si>
    <t>ABERNATHY ISD</t>
  </si>
  <si>
    <t>17</t>
  </si>
  <si>
    <t>5,880</t>
  </si>
  <si>
    <t>11,760</t>
  </si>
  <si>
    <t>21,599</t>
  </si>
  <si>
    <t>221901</t>
  </si>
  <si>
    <t>ABILENE ISD</t>
  </si>
  <si>
    <t>14</t>
  </si>
  <si>
    <t>5,606</t>
  </si>
  <si>
    <t>11,212</t>
  </si>
  <si>
    <t>20,686</t>
  </si>
  <si>
    <t>057814</t>
  </si>
  <si>
    <t>ACADEMY FOR ACADEMIC EXCELLENCE</t>
  </si>
  <si>
    <t>8,963</t>
  </si>
  <si>
    <t>17,925</t>
  </si>
  <si>
    <t>31,875</t>
  </si>
  <si>
    <t>Months</t>
  </si>
  <si>
    <t>Salary Midpoints</t>
  </si>
  <si>
    <t>014901</t>
  </si>
  <si>
    <t>ACADEMY ISD</t>
  </si>
  <si>
    <t>5,359</t>
  </si>
  <si>
    <t>10,718</t>
  </si>
  <si>
    <t>19,863</t>
  </si>
  <si>
    <t>% for Designated</t>
  </si>
  <si>
    <t>% for Other Staff</t>
  </si>
  <si>
    <t>% LEA Support</t>
  </si>
  <si>
    <t>% Recognized</t>
  </si>
  <si>
    <t>% Exemplary</t>
  </si>
  <si>
    <t>% Master</t>
  </si>
  <si>
    <t>101810</t>
  </si>
  <si>
    <t>ACADEMY OF ACCELERATED LEARNING INC</t>
  </si>
  <si>
    <t>7,479</t>
  </si>
  <si>
    <t>14,957</t>
  </si>
  <si>
    <t>26,929</t>
  </si>
  <si>
    <t>January</t>
  </si>
  <si>
    <t>057810</t>
  </si>
  <si>
    <t>ACADEMY OF DALLAS</t>
  </si>
  <si>
    <t>6,767</t>
  </si>
  <si>
    <t>13,534</t>
  </si>
  <si>
    <t>24,557</t>
  </si>
  <si>
    <t>February</t>
  </si>
  <si>
    <t>101849</t>
  </si>
  <si>
    <t>ACCELERATED INTERMEDIATE ACADEMY</t>
  </si>
  <si>
    <t>6,334</t>
  </si>
  <si>
    <t>12,668</t>
  </si>
  <si>
    <t>23,113</t>
  </si>
  <si>
    <t>March</t>
  </si>
  <si>
    <t>180903</t>
  </si>
  <si>
    <t>ADRIAN ISD</t>
  </si>
  <si>
    <t>16</t>
  </si>
  <si>
    <t>6,885</t>
  </si>
  <si>
    <t>13,770</t>
  </si>
  <si>
    <t>24,950</t>
  </si>
  <si>
    <t>April</t>
  </si>
  <si>
    <t>057806</t>
  </si>
  <si>
    <t>ADVANTAGE ACADEMY</t>
  </si>
  <si>
    <t>6,383</t>
  </si>
  <si>
    <t>12,766</t>
  </si>
  <si>
    <t>23,276</t>
  </si>
  <si>
    <t>May</t>
  </si>
  <si>
    <t>178901</t>
  </si>
  <si>
    <t>AGUA DULCE ISD</t>
  </si>
  <si>
    <t>02</t>
  </si>
  <si>
    <t>7,407</t>
  </si>
  <si>
    <t>14,814</t>
  </si>
  <si>
    <t>26,690</t>
  </si>
  <si>
    <t>June</t>
  </si>
  <si>
    <t>015901</t>
  </si>
  <si>
    <t>ALAMO HEIGHTS ISD</t>
  </si>
  <si>
    <t>20</t>
  </si>
  <si>
    <t>3,526</t>
  </si>
  <si>
    <t>7,053</t>
  </si>
  <si>
    <t>13,755</t>
  </si>
  <si>
    <t>July</t>
  </si>
  <si>
    <t>250906</t>
  </si>
  <si>
    <t>ALBA-GOLDEN ISD</t>
  </si>
  <si>
    <t>07</t>
  </si>
  <si>
    <t>6,269</t>
  </si>
  <si>
    <t>12,539</t>
  </si>
  <si>
    <t>22,898</t>
  </si>
  <si>
    <t>August</t>
  </si>
  <si>
    <t>209901</t>
  </si>
  <si>
    <t>ALBANY ISD</t>
  </si>
  <si>
    <t>5,636</t>
  </si>
  <si>
    <t>11,272</t>
  </si>
  <si>
    <t>20,787</t>
  </si>
  <si>
    <t>September</t>
  </si>
  <si>
    <t>101902</t>
  </si>
  <si>
    <t>ALDINE ISD</t>
  </si>
  <si>
    <t>6,797</t>
  </si>
  <si>
    <t>13,594</t>
  </si>
  <si>
    <t>24,656</t>
  </si>
  <si>
    <t>October</t>
  </si>
  <si>
    <t>184907</t>
  </si>
  <si>
    <t>ALEDO ISD</t>
  </si>
  <si>
    <t>11</t>
  </si>
  <si>
    <t>3,148</t>
  </si>
  <si>
    <t>6,296</t>
  </si>
  <si>
    <t>12,493</t>
  </si>
  <si>
    <t>November</t>
  </si>
  <si>
    <t>125901</t>
  </si>
  <si>
    <t>ALICE ISD</t>
  </si>
  <si>
    <t>6,418</t>
  </si>
  <si>
    <t>12,836</t>
  </si>
  <si>
    <t>23,393</t>
  </si>
  <si>
    <t>December</t>
  </si>
  <si>
    <t>101903</t>
  </si>
  <si>
    <t>ALIEF ISD</t>
  </si>
  <si>
    <t>6,896</t>
  </si>
  <si>
    <t>13,792</t>
  </si>
  <si>
    <t>24,987</t>
  </si>
  <si>
    <t>101815</t>
  </si>
  <si>
    <t>ALIEF MONTESSORI COMMUNITY SCHOOL</t>
  </si>
  <si>
    <t>5,458</t>
  </si>
  <si>
    <t>10,917</t>
  </si>
  <si>
    <t>20,195</t>
  </si>
  <si>
    <t>043901</t>
  </si>
  <si>
    <t>ALLEN ISD</t>
  </si>
  <si>
    <t>3,359</t>
  </si>
  <si>
    <t>6,719</t>
  </si>
  <si>
    <t>13,198</t>
  </si>
  <si>
    <t>022901</t>
  </si>
  <si>
    <t>ALPINE ISD</t>
  </si>
  <si>
    <t>18</t>
  </si>
  <si>
    <t>6,014</t>
  </si>
  <si>
    <t>12,028</t>
  </si>
  <si>
    <t>22,046</t>
  </si>
  <si>
    <t>037901</t>
  </si>
  <si>
    <t>ALTO ISD</t>
  </si>
  <si>
    <t>7,191</t>
  </si>
  <si>
    <t>14,383</t>
  </si>
  <si>
    <t>25,971</t>
  </si>
  <si>
    <t>126901</t>
  </si>
  <si>
    <t>ALVARADO ISD</t>
  </si>
  <si>
    <t>13,438</t>
  </si>
  <si>
    <t>24,397</t>
  </si>
  <si>
    <t>020901</t>
  </si>
  <si>
    <t>ALVIN ISD</t>
  </si>
  <si>
    <t>4,021</t>
  </si>
  <si>
    <t>8,043</t>
  </si>
  <si>
    <t>15,405</t>
  </si>
  <si>
    <t>249901</t>
  </si>
  <si>
    <t>ALVORD ISD</t>
  </si>
  <si>
    <t>5,488</t>
  </si>
  <si>
    <t>10,976</t>
  </si>
  <si>
    <t>20,293</t>
  </si>
  <si>
    <t>188901</t>
  </si>
  <si>
    <t>AMARILLO ISD</t>
  </si>
  <si>
    <t>5,784</t>
  </si>
  <si>
    <t>11,567</t>
  </si>
  <si>
    <t>21,279</t>
  </si>
  <si>
    <t>084804</t>
  </si>
  <si>
    <t>AMBASSADORS PREPARATORY ACADEMY</t>
  </si>
  <si>
    <t>5,723</t>
  </si>
  <si>
    <t>11,445</t>
  </si>
  <si>
    <t>21,076</t>
  </si>
  <si>
    <t>140901</t>
  </si>
  <si>
    <t>AMHERST ISD</t>
  </si>
  <si>
    <t>8,818</t>
  </si>
  <si>
    <t>17,636</t>
  </si>
  <si>
    <t>31,394</t>
  </si>
  <si>
    <t>101819</t>
  </si>
  <si>
    <t>AMIGOS POR VIDA-FRIENDS FOR LIFE PUB CHTR SCH</t>
  </si>
  <si>
    <t>8,236</t>
  </si>
  <si>
    <t>16,472</t>
  </si>
  <si>
    <t>29,453</t>
  </si>
  <si>
    <t>036901</t>
  </si>
  <si>
    <t>ANAHUAC ISD</t>
  </si>
  <si>
    <t>6,161</t>
  </si>
  <si>
    <t>12,322</t>
  </si>
  <si>
    <t>22,537</t>
  </si>
  <si>
    <t>093901</t>
  </si>
  <si>
    <t>ANDERSON-SHIRO CISD</t>
  </si>
  <si>
    <t>06</t>
  </si>
  <si>
    <t>5,188</t>
  </si>
  <si>
    <t>10,376</t>
  </si>
  <si>
    <t>19,293</t>
  </si>
  <si>
    <t>002901</t>
  </si>
  <si>
    <t>ANDREWS ISD</t>
  </si>
  <si>
    <t>4,331</t>
  </si>
  <si>
    <t>8,663</t>
  </si>
  <si>
    <t>16,438</t>
  </si>
  <si>
    <t>020902</t>
  </si>
  <si>
    <t>ANGLETON ISD</t>
  </si>
  <si>
    <t>4,247</t>
  </si>
  <si>
    <t>8,495</t>
  </si>
  <si>
    <t>16,158</t>
  </si>
  <si>
    <t>043902</t>
  </si>
  <si>
    <t>ANNA ISD</t>
  </si>
  <si>
    <t>3,603</t>
  </si>
  <si>
    <t>7,205</t>
  </si>
  <si>
    <t>14,008</t>
  </si>
  <si>
    <t>127901</t>
  </si>
  <si>
    <t>ANSON ISD</t>
  </si>
  <si>
    <t>6,633</t>
  </si>
  <si>
    <t>13,265</t>
  </si>
  <si>
    <t>24,109</t>
  </si>
  <si>
    <t>Benefits Check Boxes</t>
  </si>
  <si>
    <t>071906</t>
  </si>
  <si>
    <t>ANTHONY ISD</t>
  </si>
  <si>
    <t>19</t>
  </si>
  <si>
    <t>7,721</t>
  </si>
  <si>
    <t>15,443</t>
  </si>
  <si>
    <t>27,738</t>
  </si>
  <si>
    <t>Bene Calc</t>
  </si>
  <si>
    <t>Stipends</t>
  </si>
  <si>
    <t>Tot Salary</t>
  </si>
  <si>
    <t>110901</t>
  </si>
  <si>
    <t>ANTON ISD</t>
  </si>
  <si>
    <t>7,421</t>
  </si>
  <si>
    <t>14,842</t>
  </si>
  <si>
    <t>26,737</t>
  </si>
  <si>
    <t>228905</t>
  </si>
  <si>
    <t>APPLE SPRINGS ISD</t>
  </si>
  <si>
    <t>5,898</t>
  </si>
  <si>
    <t>11,797</t>
  </si>
  <si>
    <t>21,661</t>
  </si>
  <si>
    <t>109912</t>
  </si>
  <si>
    <t>AQUILLA ISD</t>
  </si>
  <si>
    <t>5,954</t>
  </si>
  <si>
    <t>11,908</t>
  </si>
  <si>
    <t>21,846</t>
  </si>
  <si>
    <t>004901</t>
  </si>
  <si>
    <t>ARANSAS COUNTY ISD</t>
  </si>
  <si>
    <t>4,717</t>
  </si>
  <si>
    <t>9,434</t>
  </si>
  <si>
    <t>17,723</t>
  </si>
  <si>
    <t>205901</t>
  </si>
  <si>
    <t>ARANSAS PASS ISD</t>
  </si>
  <si>
    <t>5,729</t>
  </si>
  <si>
    <t>11,459</t>
  </si>
  <si>
    <t>21,098</t>
  </si>
  <si>
    <t>005901</t>
  </si>
  <si>
    <t>ARCHER CITY ISD</t>
  </si>
  <si>
    <t>09</t>
  </si>
  <si>
    <t>6,000</t>
  </si>
  <si>
    <t>12,000</t>
  </si>
  <si>
    <t>22,000</t>
  </si>
  <si>
    <t>061910</t>
  </si>
  <si>
    <t>ARGYLE ISD</t>
  </si>
  <si>
    <t>3,051</t>
  </si>
  <si>
    <t>6,102</t>
  </si>
  <si>
    <t>12,170</t>
  </si>
  <si>
    <t>101803</t>
  </si>
  <si>
    <t>ARISTOI CLASSICAL ACADEMY</t>
  </si>
  <si>
    <t>3,373</t>
  </si>
  <si>
    <t>6,745</t>
  </si>
  <si>
    <t>13,242</t>
  </si>
  <si>
    <t>220802</t>
  </si>
  <si>
    <t>ARLINGTON CLASSICS ACADEMY</t>
  </si>
  <si>
    <t>3,682</t>
  </si>
  <si>
    <t>7,365</t>
  </si>
  <si>
    <t>14,274</t>
  </si>
  <si>
    <t>220901</t>
  </si>
  <si>
    <t>ARLINGTON ISD</t>
  </si>
  <si>
    <t>5,727</t>
  </si>
  <si>
    <t>11,454</t>
  </si>
  <si>
    <t>21,090</t>
  </si>
  <si>
    <t>212901</t>
  </si>
  <si>
    <t>ARP ISD</t>
  </si>
  <si>
    <t>6,240</t>
  </si>
  <si>
    <t>12,480</t>
  </si>
  <si>
    <t>22,800</t>
  </si>
  <si>
    <t>021805</t>
  </si>
  <si>
    <t>ARROW ACADEMY</t>
  </si>
  <si>
    <t>6,137</t>
  </si>
  <si>
    <t>12,274</t>
  </si>
  <si>
    <t>22,457</t>
  </si>
  <si>
    <t>217901</t>
  </si>
  <si>
    <t>ASPERMONT ISD</t>
  </si>
  <si>
    <t>6,283</t>
  </si>
  <si>
    <t>12,567</t>
  </si>
  <si>
    <t>22,944</t>
  </si>
  <si>
    <t>107901</t>
  </si>
  <si>
    <t>ATHENS ISD</t>
  </si>
  <si>
    <t>5,934</t>
  </si>
  <si>
    <t>11,867</t>
  </si>
  <si>
    <t>21,778</t>
  </si>
  <si>
    <t>034901</t>
  </si>
  <si>
    <t>ATLANTA ISD</t>
  </si>
  <si>
    <t>08</t>
  </si>
  <si>
    <t>6,804</t>
  </si>
  <si>
    <t>13,608</t>
  </si>
  <si>
    <t>24,680</t>
  </si>
  <si>
    <t>061907</t>
  </si>
  <si>
    <t>AUBREY ISD</t>
  </si>
  <si>
    <t>5,103</t>
  </si>
  <si>
    <t>10,206</t>
  </si>
  <si>
    <t>19,010</t>
  </si>
  <si>
    <t>227825</t>
  </si>
  <si>
    <t>AUSTIN ACHIEVE PUBLIC SCHOOLS</t>
  </si>
  <si>
    <t>13</t>
  </si>
  <si>
    <t>5,694</t>
  </si>
  <si>
    <t>11,388</t>
  </si>
  <si>
    <t>20,981</t>
  </si>
  <si>
    <t>227821</t>
  </si>
  <si>
    <t>AUSTIN DISCOVERY SCHOOL</t>
  </si>
  <si>
    <t>3,208</t>
  </si>
  <si>
    <t>6,416</t>
  </si>
  <si>
    <t>12,693</t>
  </si>
  <si>
    <t>227901</t>
  </si>
  <si>
    <t>AUSTIN ISD</t>
  </si>
  <si>
    <t>4,642</t>
  </si>
  <si>
    <t>9,283</t>
  </si>
  <si>
    <t>17,472</t>
  </si>
  <si>
    <t>196901</t>
  </si>
  <si>
    <t>AUSTWELL-TIVOLI ISD</t>
  </si>
  <si>
    <t>03</t>
  </si>
  <si>
    <t>6,034</t>
  </si>
  <si>
    <t>12,067</t>
  </si>
  <si>
    <t>22,112</t>
  </si>
  <si>
    <t>070901</t>
  </si>
  <si>
    <t>AVALON ISD</t>
  </si>
  <si>
    <t>7,058</t>
  </si>
  <si>
    <t>14,115</t>
  </si>
  <si>
    <t>25,525</t>
  </si>
  <si>
    <t>194902</t>
  </si>
  <si>
    <t>AVERY ISD</t>
  </si>
  <si>
    <t>6,372</t>
  </si>
  <si>
    <t>12,745</t>
  </si>
  <si>
    <t>23,241</t>
  </si>
  <si>
    <t>034902</t>
  </si>
  <si>
    <t>AVINGER ISD</t>
  </si>
  <si>
    <t>7,045</t>
  </si>
  <si>
    <t>14,089</t>
  </si>
  <si>
    <t>25,482</t>
  </si>
  <si>
    <t>161918</t>
  </si>
  <si>
    <t>AXTELL ISD</t>
  </si>
  <si>
    <t>5,952</t>
  </si>
  <si>
    <t>11,905</t>
  </si>
  <si>
    <t>21,841</t>
  </si>
  <si>
    <t>220915</t>
  </si>
  <si>
    <t>AZLE ISD</t>
  </si>
  <si>
    <t>3,978</t>
  </si>
  <si>
    <t>7,955</t>
  </si>
  <si>
    <t>15,259</t>
  </si>
  <si>
    <t>030903</t>
  </si>
  <si>
    <t>BAIRD ISD</t>
  </si>
  <si>
    <t>6,915</t>
  </si>
  <si>
    <t>13,829</t>
  </si>
  <si>
    <t>25,049</t>
  </si>
  <si>
    <t>200901</t>
  </si>
  <si>
    <t>BALLINGER ISD</t>
  </si>
  <si>
    <t>15</t>
  </si>
  <si>
    <t>7,238</t>
  </si>
  <si>
    <t>14,475</t>
  </si>
  <si>
    <t>26,125</t>
  </si>
  <si>
    <t>195902</t>
  </si>
  <si>
    <t>BALMORHEA ISD</t>
  </si>
  <si>
    <t>8,260</t>
  </si>
  <si>
    <t>16,521</t>
  </si>
  <si>
    <t>29,534</t>
  </si>
  <si>
    <t>010902</t>
  </si>
  <si>
    <t>BANDERA ISD</t>
  </si>
  <si>
    <t>5,893</t>
  </si>
  <si>
    <t>11,786</t>
  </si>
  <si>
    <t>21,643</t>
  </si>
  <si>
    <t>025901</t>
  </si>
  <si>
    <t>BANGS ISD</t>
  </si>
  <si>
    <t>6,793</t>
  </si>
  <si>
    <t>13,585</t>
  </si>
  <si>
    <t>24,642</t>
  </si>
  <si>
    <t>178913</t>
  </si>
  <si>
    <t>BANQUETE ISD</t>
  </si>
  <si>
    <t>6,964</t>
  </si>
  <si>
    <t>13,928</t>
  </si>
  <si>
    <t>25,213</t>
  </si>
  <si>
    <t>036902</t>
  </si>
  <si>
    <t>BARBERS HILL ISD</t>
  </si>
  <si>
    <t>3,334</t>
  </si>
  <si>
    <t>6,668</t>
  </si>
  <si>
    <t>13,113</t>
  </si>
  <si>
    <t>014902</t>
  </si>
  <si>
    <t>BARTLETT ISD</t>
  </si>
  <si>
    <t>7,865</t>
  </si>
  <si>
    <t>15,731</t>
  </si>
  <si>
    <t>28,218</t>
  </si>
  <si>
    <t>015834</t>
  </si>
  <si>
    <t>BASIS TEXAS</t>
  </si>
  <si>
    <t>3,063</t>
  </si>
  <si>
    <t>6,125</t>
  </si>
  <si>
    <t>12,209</t>
  </si>
  <si>
    <t>011901</t>
  </si>
  <si>
    <t>BASTROP ISD</t>
  </si>
  <si>
    <t>4,799</t>
  </si>
  <si>
    <t>9,599</t>
  </si>
  <si>
    <t>17,998</t>
  </si>
  <si>
    <t>158901</t>
  </si>
  <si>
    <t>BAY CITY ISD</t>
  </si>
  <si>
    <t>5,610</t>
  </si>
  <si>
    <t>11,220</t>
  </si>
  <si>
    <t>20,701</t>
  </si>
  <si>
    <t>101847</t>
  </si>
  <si>
    <t>BEATRICE MAYES INSTITUTE CHARTER SCHOOL</t>
  </si>
  <si>
    <t>6,128</t>
  </si>
  <si>
    <t>12,255</t>
  </si>
  <si>
    <t>22,426</t>
  </si>
  <si>
    <t>123910</t>
  </si>
  <si>
    <t>BEAUMONT ISD</t>
  </si>
  <si>
    <t>05</t>
  </si>
  <si>
    <t>6,307</t>
  </si>
  <si>
    <t>12,613</t>
  </si>
  <si>
    <t>23,022</t>
  </si>
  <si>
    <t>183901</t>
  </si>
  <si>
    <t>BECKVILLE ISD</t>
  </si>
  <si>
    <t>5,787</t>
  </si>
  <si>
    <t>11,573</t>
  </si>
  <si>
    <t>21,289</t>
  </si>
  <si>
    <t>013901</t>
  </si>
  <si>
    <t>BEEVILLE ISD</t>
  </si>
  <si>
    <t>6,002</t>
  </si>
  <si>
    <t>12,005</t>
  </si>
  <si>
    <t>22,008</t>
  </si>
  <si>
    <t>039904</t>
  </si>
  <si>
    <t>BELLEVUE ISD</t>
  </si>
  <si>
    <t>5,853</t>
  </si>
  <si>
    <t>11,707</t>
  </si>
  <si>
    <t>21,511</t>
  </si>
  <si>
    <t>091901</t>
  </si>
  <si>
    <t>BELLS ISD</t>
  </si>
  <si>
    <t>5,425</t>
  </si>
  <si>
    <t>10,851</t>
  </si>
  <si>
    <t>20,085</t>
  </si>
  <si>
    <t>008901</t>
  </si>
  <si>
    <t>BELLVILLE ISD</t>
  </si>
  <si>
    <t>3,822</t>
  </si>
  <si>
    <t>7,644</t>
  </si>
  <si>
    <t>14,740</t>
  </si>
  <si>
    <t>014903</t>
  </si>
  <si>
    <t>BELTON ISD</t>
  </si>
  <si>
    <t>4,039</t>
  </si>
  <si>
    <t>8,078</t>
  </si>
  <si>
    <t>15,463</t>
  </si>
  <si>
    <t>125902</t>
  </si>
  <si>
    <t>BEN BOLT-PALITO BLANCO ISD</t>
  </si>
  <si>
    <t>7,548</t>
  </si>
  <si>
    <t>15,095</t>
  </si>
  <si>
    <t>27,158</t>
  </si>
  <si>
    <t>066901</t>
  </si>
  <si>
    <t>BENAVIDES ISD</t>
  </si>
  <si>
    <t>8,240</t>
  </si>
  <si>
    <t>16,480</t>
  </si>
  <si>
    <t>29,466</t>
  </si>
  <si>
    <t>138904</t>
  </si>
  <si>
    <t>BENJAMIN ISD</t>
  </si>
  <si>
    <t>7,027</t>
  </si>
  <si>
    <t>14,054</t>
  </si>
  <si>
    <t>25,424</t>
  </si>
  <si>
    <t>101870</t>
  </si>
  <si>
    <t>BETA ACADEMY</t>
  </si>
  <si>
    <t>5,216</t>
  </si>
  <si>
    <t>10,433</t>
  </si>
  <si>
    <t>19,388</t>
  </si>
  <si>
    <t>152806</t>
  </si>
  <si>
    <t>BETTY M CONDRA SCHOOL FOR EDUCATION INNOVATION</t>
  </si>
  <si>
    <t>6,297</t>
  </si>
  <si>
    <t>12,594</t>
  </si>
  <si>
    <t>22,989</t>
  </si>
  <si>
    <t>015809</t>
  </si>
  <si>
    <t>BEXAR COUNTY ACADEMY</t>
  </si>
  <si>
    <t>5,892</t>
  </si>
  <si>
    <t>11,784</t>
  </si>
  <si>
    <t>21,641</t>
  </si>
  <si>
    <t>187901</t>
  </si>
  <si>
    <t>BIG SANDY ISD</t>
  </si>
  <si>
    <t>6,184</t>
  </si>
  <si>
    <t>12,368</t>
  </si>
  <si>
    <t>22,613</t>
  </si>
  <si>
    <t>230901</t>
  </si>
  <si>
    <t>7,044</t>
  </si>
  <si>
    <t>14,088</t>
  </si>
  <si>
    <t>25,481</t>
  </si>
  <si>
    <t>114901</t>
  </si>
  <si>
    <t>BIG SPRING ISD</t>
  </si>
  <si>
    <t>5,166</t>
  </si>
  <si>
    <t>10,332</t>
  </si>
  <si>
    <t>19,220</t>
  </si>
  <si>
    <t>193801</t>
  </si>
  <si>
    <t>BIG SPRINGS CHARTER SCHOOL</t>
  </si>
  <si>
    <t>7,086</t>
  </si>
  <si>
    <t>14,172</t>
  </si>
  <si>
    <t>25,621</t>
  </si>
  <si>
    <t>220902</t>
  </si>
  <si>
    <t>BIRDVILLE ISD</t>
  </si>
  <si>
    <t>4,941</t>
  </si>
  <si>
    <t>9,881</t>
  </si>
  <si>
    <t>18,469</t>
  </si>
  <si>
    <t>178902</t>
  </si>
  <si>
    <t>BISHOP CISD</t>
  </si>
  <si>
    <t>6,581</t>
  </si>
  <si>
    <t>13,163</t>
  </si>
  <si>
    <t>23,938</t>
  </si>
  <si>
    <t>177903</t>
  </si>
  <si>
    <t>BLACKWELL CISD</t>
  </si>
  <si>
    <t>5,320</t>
  </si>
  <si>
    <t>10,639</t>
  </si>
  <si>
    <t>19,732</t>
  </si>
  <si>
    <t>016902</t>
  </si>
  <si>
    <t>BLANCO ISD</t>
  </si>
  <si>
    <t>5,485</t>
  </si>
  <si>
    <t>10,970</t>
  </si>
  <si>
    <t>20,283</t>
  </si>
  <si>
    <t>116915</t>
  </si>
  <si>
    <t>BLAND ISD</t>
  </si>
  <si>
    <t>6,377</t>
  </si>
  <si>
    <t>12,755</t>
  </si>
  <si>
    <t>23,258</t>
  </si>
  <si>
    <t>025904</t>
  </si>
  <si>
    <t>BLANKET ISD</t>
  </si>
  <si>
    <t>6,509</t>
  </si>
  <si>
    <t>13,018</t>
  </si>
  <si>
    <t>23,697</t>
  </si>
  <si>
    <t>101875</t>
  </si>
  <si>
    <t>BLOOM ACADEMY CHARTER SCHOOL</t>
  </si>
  <si>
    <t>6,042</t>
  </si>
  <si>
    <t>12,084</t>
  </si>
  <si>
    <t>22,141</t>
  </si>
  <si>
    <t>034909</t>
  </si>
  <si>
    <t>BLOOMBURG ISD</t>
  </si>
  <si>
    <t>6,910</t>
  </si>
  <si>
    <t>13,821</t>
  </si>
  <si>
    <t>25,035</t>
  </si>
  <si>
    <t>175902</t>
  </si>
  <si>
    <t>BLOOMING GROVE ISD</t>
  </si>
  <si>
    <t>23,394</t>
  </si>
  <si>
    <t>235901</t>
  </si>
  <si>
    <t>BLOOMINGTON ISD</t>
  </si>
  <si>
    <t>7,651</t>
  </si>
  <si>
    <t>15,302</t>
  </si>
  <si>
    <t>27,503</t>
  </si>
  <si>
    <t>043917</t>
  </si>
  <si>
    <t>BLUE RIDGE ISD</t>
  </si>
  <si>
    <t>5,782</t>
  </si>
  <si>
    <t>11,564</t>
  </si>
  <si>
    <t>21,273</t>
  </si>
  <si>
    <t>072904</t>
  </si>
  <si>
    <t>BLUFF DALE ISD</t>
  </si>
  <si>
    <t>5,068</t>
  </si>
  <si>
    <t>10,136</t>
  </si>
  <si>
    <t>18,893</t>
  </si>
  <si>
    <t>109913</t>
  </si>
  <si>
    <t>BLUM ISD</t>
  </si>
  <si>
    <t>6,091</t>
  </si>
  <si>
    <t>12,183</t>
  </si>
  <si>
    <t>22,305</t>
  </si>
  <si>
    <t>123807</t>
  </si>
  <si>
    <t>BOB HOPE SCHOOL</t>
  </si>
  <si>
    <t>6,353</t>
  </si>
  <si>
    <t>12,706</t>
  </si>
  <si>
    <t>23,177</t>
  </si>
  <si>
    <t>130901</t>
  </si>
  <si>
    <t>BOERNE ISD</t>
  </si>
  <si>
    <t>3,280</t>
  </si>
  <si>
    <t>6,560</t>
  </si>
  <si>
    <t>12,933</t>
  </si>
  <si>
    <t>116916</t>
  </si>
  <si>
    <t>BOLES ISD</t>
  </si>
  <si>
    <t>6,172</t>
  </si>
  <si>
    <t>12,345</t>
  </si>
  <si>
    <t>22,574</t>
  </si>
  <si>
    <t>241901</t>
  </si>
  <si>
    <t>BOLING ISD</t>
  </si>
  <si>
    <t>074903</t>
  </si>
  <si>
    <t>BONHAM ISD</t>
  </si>
  <si>
    <t>4,981</t>
  </si>
  <si>
    <t>9,961</t>
  </si>
  <si>
    <t>18,602</t>
  </si>
  <si>
    <t>148901</t>
  </si>
  <si>
    <t>BOOKER ISD</t>
  </si>
  <si>
    <t>7,322</t>
  </si>
  <si>
    <t>14,644</t>
  </si>
  <si>
    <t>26,407</t>
  </si>
  <si>
    <t>017901</t>
  </si>
  <si>
    <t>BORDEN COUNTY ISD</t>
  </si>
  <si>
    <t>5,414</t>
  </si>
  <si>
    <t>10,828</t>
  </si>
  <si>
    <t>20,046</t>
  </si>
  <si>
    <t>117901</t>
  </si>
  <si>
    <t>BORGER ISD</t>
  </si>
  <si>
    <t>6,591</t>
  </si>
  <si>
    <t>13,182</t>
  </si>
  <si>
    <t>23,971</t>
  </si>
  <si>
    <t>161923</t>
  </si>
  <si>
    <t>BOSQUEVILLE ISD</t>
  </si>
  <si>
    <t>5,516</t>
  </si>
  <si>
    <t>11,032</t>
  </si>
  <si>
    <t>20,387</t>
  </si>
  <si>
    <t>185901</t>
  </si>
  <si>
    <t>BOVINA ISD</t>
  </si>
  <si>
    <t>8,257</t>
  </si>
  <si>
    <t>16,514</t>
  </si>
  <si>
    <t>29,524</t>
  </si>
  <si>
    <t>169901</t>
  </si>
  <si>
    <t>BOWIE ISD</t>
  </si>
  <si>
    <t>6,023</t>
  </si>
  <si>
    <t>12,046</t>
  </si>
  <si>
    <t>22,077</t>
  </si>
  <si>
    <t>249902</t>
  </si>
  <si>
    <t>BOYD ISD</t>
  </si>
  <si>
    <t>5,852</t>
  </si>
  <si>
    <t>11,704</t>
  </si>
  <si>
    <t>21,507</t>
  </si>
  <si>
    <t>180901</t>
  </si>
  <si>
    <t>BOYS RANCH ISD</t>
  </si>
  <si>
    <t>6,547</t>
  </si>
  <si>
    <t>13,095</t>
  </si>
  <si>
    <t>23,824</t>
  </si>
  <si>
    <t>136901</t>
  </si>
  <si>
    <t>BRACKETT ISD</t>
  </si>
  <si>
    <t>6,514</t>
  </si>
  <si>
    <t>13,028</t>
  </si>
  <si>
    <t>23,713</t>
  </si>
  <si>
    <t>160901</t>
  </si>
  <si>
    <t>BRADY ISD</t>
  </si>
  <si>
    <t>7,105</t>
  </si>
  <si>
    <t>14,210</t>
  </si>
  <si>
    <t>25,683</t>
  </si>
  <si>
    <t>008903</t>
  </si>
  <si>
    <t>BRAZOS ISD</t>
  </si>
  <si>
    <t>6,842</t>
  </si>
  <si>
    <t>13,684</t>
  </si>
  <si>
    <t>24,807</t>
  </si>
  <si>
    <t>Graphs:</t>
  </si>
  <si>
    <t>213801</t>
  </si>
  <si>
    <t>BRAZOS RIVER CHARTER SCHOOL</t>
  </si>
  <si>
    <t>6,270</t>
  </si>
  <si>
    <t>12,541</t>
  </si>
  <si>
    <t>22,902</t>
  </si>
  <si>
    <t>021803</t>
  </si>
  <si>
    <t>BRAZOS SCHOOL FOR INQUIRY &amp; CREATIVITY</t>
  </si>
  <si>
    <t>7,228</t>
  </si>
  <si>
    <t>14,455</t>
  </si>
  <si>
    <t>26,092</t>
  </si>
  <si>
    <t>Designated</t>
  </si>
  <si>
    <t>Other Eligible</t>
  </si>
  <si>
    <t>10% Support</t>
  </si>
  <si>
    <t>020905</t>
  </si>
  <si>
    <t>BRAZOSPORT ISD</t>
  </si>
  <si>
    <t>4,838</t>
  </si>
  <si>
    <t>9,676</t>
  </si>
  <si>
    <t>18,126</t>
  </si>
  <si>
    <t>Allottment</t>
  </si>
  <si>
    <t>215901</t>
  </si>
  <si>
    <t>BRECKENRIDGE ISD</t>
  </si>
  <si>
    <t>7,083</t>
  </si>
  <si>
    <t>14,166</t>
  </si>
  <si>
    <t>25,610</t>
  </si>
  <si>
    <t>198901</t>
  </si>
  <si>
    <t>BREMOND ISD</t>
  </si>
  <si>
    <t>6,417</t>
  </si>
  <si>
    <t>12,835</t>
  </si>
  <si>
    <t>23,391</t>
  </si>
  <si>
    <t>239901</t>
  </si>
  <si>
    <t>BRENHAM ISD</t>
  </si>
  <si>
    <t>4,810</t>
  </si>
  <si>
    <t>9,620</t>
  </si>
  <si>
    <t>18,033</t>
  </si>
  <si>
    <t>Stipends:</t>
  </si>
  <si>
    <t>181901</t>
  </si>
  <si>
    <t>BRIDGE CITY ISD</t>
  </si>
  <si>
    <t>4,609</t>
  </si>
  <si>
    <t>9,219</t>
  </si>
  <si>
    <t>17,364</t>
  </si>
  <si>
    <t>249903</t>
  </si>
  <si>
    <t>BRIDGEPORT ISD</t>
  </si>
  <si>
    <t>6,322</t>
  </si>
  <si>
    <t>12,644</t>
  </si>
  <si>
    <t>23,073</t>
  </si>
  <si>
    <t>057851</t>
  </si>
  <si>
    <t>BRIDGEWAY PREPARATORY ACADEMY</t>
  </si>
  <si>
    <t>4,604</t>
  </si>
  <si>
    <t>9,208</t>
  </si>
  <si>
    <t>17,347</t>
  </si>
  <si>
    <t>BRILLANTE ACADEMY</t>
  </si>
  <si>
    <t>108810</t>
  </si>
  <si>
    <t>01</t>
  </si>
  <si>
    <t>6,049</t>
  </si>
  <si>
    <t>12,099</t>
  </si>
  <si>
    <t>22,164</t>
  </si>
  <si>
    <t>203902</t>
  </si>
  <si>
    <t>BROADDUS ISD</t>
  </si>
  <si>
    <t>7,032</t>
  </si>
  <si>
    <t>14,063</t>
  </si>
  <si>
    <t>25,438</t>
  </si>
  <si>
    <t>184909</t>
  </si>
  <si>
    <t>BROCK ISD</t>
  </si>
  <si>
    <t>4,662</t>
  </si>
  <si>
    <t>9,323</t>
  </si>
  <si>
    <t>17,539</t>
  </si>
  <si>
    <t>041901</t>
  </si>
  <si>
    <t>BRONTE ISD</t>
  </si>
  <si>
    <t>5,765</t>
  </si>
  <si>
    <t>11,529</t>
  </si>
  <si>
    <t>21,215</t>
  </si>
  <si>
    <t>121902</t>
  </si>
  <si>
    <t>BROOKELAND ISD</t>
  </si>
  <si>
    <t>6,503</t>
  </si>
  <si>
    <t>13,005</t>
  </si>
  <si>
    <t>23,676</t>
  </si>
  <si>
    <t>025908</t>
  </si>
  <si>
    <t>BROOKESMITH ISD</t>
  </si>
  <si>
    <t>6,839</t>
  </si>
  <si>
    <t>13,678</t>
  </si>
  <si>
    <t>24,797</t>
  </si>
  <si>
    <t>015830</t>
  </si>
  <si>
    <t>BROOKS ACADEMIES OF TEXAS</t>
  </si>
  <si>
    <t>5,537</t>
  </si>
  <si>
    <t>11,073</t>
  </si>
  <si>
    <t>20,456</t>
  </si>
  <si>
    <t>024901</t>
  </si>
  <si>
    <t>BROOKS COUNTY ISD</t>
  </si>
  <si>
    <t>6,031</t>
  </si>
  <si>
    <t>12,061</t>
  </si>
  <si>
    <t>22,102</t>
  </si>
  <si>
    <t>223901</t>
  </si>
  <si>
    <t>BROWNFIELD ISD</t>
  </si>
  <si>
    <t>8,040</t>
  </si>
  <si>
    <t>16,079</t>
  </si>
  <si>
    <t>28,799</t>
  </si>
  <si>
    <t>107902</t>
  </si>
  <si>
    <t>BROWNSBORO ISD</t>
  </si>
  <si>
    <t>6,477</t>
  </si>
  <si>
    <t>12,954</t>
  </si>
  <si>
    <t>23,591</t>
  </si>
  <si>
    <t>031901</t>
  </si>
  <si>
    <t>BROWNSVILLE ISD</t>
  </si>
  <si>
    <t>6,781</t>
  </si>
  <si>
    <t>13,561</t>
  </si>
  <si>
    <t>24,602</t>
  </si>
  <si>
    <t>025902</t>
  </si>
  <si>
    <t>BROWNWOOD ISD</t>
  </si>
  <si>
    <t>5,528</t>
  </si>
  <si>
    <t>11,057</t>
  </si>
  <si>
    <t>20,428</t>
  </si>
  <si>
    <t>161919</t>
  </si>
  <si>
    <t>BRUCEVILLE-EDDY ISD</t>
  </si>
  <si>
    <t>5,979</t>
  </si>
  <si>
    <t>11,957</t>
  </si>
  <si>
    <t>21,929</t>
  </si>
  <si>
    <t>021902</t>
  </si>
  <si>
    <t>BRYAN ISD</t>
  </si>
  <si>
    <t>6,054</t>
  </si>
  <si>
    <t>12,109</t>
  </si>
  <si>
    <t>22,181</t>
  </si>
  <si>
    <t>119901</t>
  </si>
  <si>
    <t>BRYSON ISD</t>
  </si>
  <si>
    <t>6,384</t>
  </si>
  <si>
    <t>12,767</t>
  </si>
  <si>
    <t>23,279</t>
  </si>
  <si>
    <t>166907</t>
  </si>
  <si>
    <t>BUCKHOLTS ISD</t>
  </si>
  <si>
    <t>8,111</t>
  </si>
  <si>
    <t>16,222</t>
  </si>
  <si>
    <t>29,037</t>
  </si>
  <si>
    <t>186901</t>
  </si>
  <si>
    <t>BUENA VISTA ISD</t>
  </si>
  <si>
    <t>5,484</t>
  </si>
  <si>
    <t>10,968</t>
  </si>
  <si>
    <t>20,280</t>
  </si>
  <si>
    <t>145901</t>
  </si>
  <si>
    <t>BUFFALO ISD</t>
  </si>
  <si>
    <t>7,194</t>
  </si>
  <si>
    <t>14,388</t>
  </si>
  <si>
    <t>25,980</t>
  </si>
  <si>
    <t>212902</t>
  </si>
  <si>
    <t>BULLARD ISD</t>
  </si>
  <si>
    <t>5,134</t>
  </si>
  <si>
    <t>10,268</t>
  </si>
  <si>
    <t>19,113</t>
  </si>
  <si>
    <t>121903</t>
  </si>
  <si>
    <t>BUNA ISD</t>
  </si>
  <si>
    <t>6,213</t>
  </si>
  <si>
    <t>12,426</t>
  </si>
  <si>
    <t>22,709</t>
  </si>
  <si>
    <t>243901</t>
  </si>
  <si>
    <t>BURKBURNETT ISD</t>
  </si>
  <si>
    <t>4,527</t>
  </si>
  <si>
    <t>9,054</t>
  </si>
  <si>
    <t>17,091</t>
  </si>
  <si>
    <t>176901</t>
  </si>
  <si>
    <t>BURKEVILLE ISD</t>
  </si>
  <si>
    <t>8,277</t>
  </si>
  <si>
    <t>16,554</t>
  </si>
  <si>
    <t>29,590</t>
  </si>
  <si>
    <t>126902</t>
  </si>
  <si>
    <t>BURLESON ISD</t>
  </si>
  <si>
    <t>3,629</t>
  </si>
  <si>
    <t>7,259</t>
  </si>
  <si>
    <t>14,098</t>
  </si>
  <si>
    <t>027903</t>
  </si>
  <si>
    <t>BURNET CISD</t>
  </si>
  <si>
    <t>6,175</t>
  </si>
  <si>
    <t>12,350</t>
  </si>
  <si>
    <t>22,583</t>
  </si>
  <si>
    <t>071801</t>
  </si>
  <si>
    <t>BURNHAM WOOD CHARTER SCHOOL DISTRICT</t>
  </si>
  <si>
    <t>4,979</t>
  </si>
  <si>
    <t>9,957</t>
  </si>
  <si>
    <t>18,595</t>
  </si>
  <si>
    <t>239903</t>
  </si>
  <si>
    <t>BURTON ISD</t>
  </si>
  <si>
    <t>5,226</t>
  </si>
  <si>
    <t>10,451</t>
  </si>
  <si>
    <t>19,419</t>
  </si>
  <si>
    <t>188904</t>
  </si>
  <si>
    <t>BUSHLAND ISD</t>
  </si>
  <si>
    <t>4,798</t>
  </si>
  <si>
    <t>9,597</t>
  </si>
  <si>
    <t>17,994</t>
  </si>
  <si>
    <t>109902</t>
  </si>
  <si>
    <t>BYNUM ISD</t>
  </si>
  <si>
    <t>5,584</t>
  </si>
  <si>
    <t>11,168</t>
  </si>
  <si>
    <t>20,614</t>
  </si>
  <si>
    <t>116901</t>
  </si>
  <si>
    <t>CADDO MILLS ISD</t>
  </si>
  <si>
    <t>5,273</t>
  </si>
  <si>
    <t>10,545</t>
  </si>
  <si>
    <t>19,576</t>
  </si>
  <si>
    <t>178903</t>
  </si>
  <si>
    <t>CALALLEN ISD</t>
  </si>
  <si>
    <t>6,385</t>
  </si>
  <si>
    <t>12,770</t>
  </si>
  <si>
    <t>23,284</t>
  </si>
  <si>
    <t>026901</t>
  </si>
  <si>
    <t>CALDWELL ISD</t>
  </si>
  <si>
    <t>6,129</t>
  </si>
  <si>
    <t>12,257</t>
  </si>
  <si>
    <t>22,428</t>
  </si>
  <si>
    <t>029901</t>
  </si>
  <si>
    <t>CALHOUN COUNTY ISD</t>
  </si>
  <si>
    <t>6,704</t>
  </si>
  <si>
    <t>13,407</t>
  </si>
  <si>
    <t>24,345</t>
  </si>
  <si>
    <t>049905</t>
  </si>
  <si>
    <t>CALLISBURG ISD</t>
  </si>
  <si>
    <t>5,648</t>
  </si>
  <si>
    <t>11,296</t>
  </si>
  <si>
    <t>20,826</t>
  </si>
  <si>
    <t>198902</t>
  </si>
  <si>
    <t>CALVERT ISD</t>
  </si>
  <si>
    <t>8,664</t>
  </si>
  <si>
    <t>17,329</t>
  </si>
  <si>
    <t>30,881</t>
  </si>
  <si>
    <t>101837</t>
  </si>
  <si>
    <t>CALVIN NELMS CHARTER SCHOOLS</t>
  </si>
  <si>
    <t>3,842</t>
  </si>
  <si>
    <t>7,684</t>
  </si>
  <si>
    <t>14,806</t>
  </si>
  <si>
    <t>166901</t>
  </si>
  <si>
    <t>CAMERON ISD</t>
  </si>
  <si>
    <t>6,952</t>
  </si>
  <si>
    <t>13,905</t>
  </si>
  <si>
    <t>25,174</t>
  </si>
  <si>
    <t>116910</t>
  </si>
  <si>
    <t>CAMPBELL ISD</t>
  </si>
  <si>
    <t>6,481</t>
  </si>
  <si>
    <t>12,963</t>
  </si>
  <si>
    <t>23,604</t>
  </si>
  <si>
    <t>106901</t>
  </si>
  <si>
    <t>CANADIAN ISD</t>
  </si>
  <si>
    <t>6,147</t>
  </si>
  <si>
    <t>12,293</t>
  </si>
  <si>
    <t>22,489</t>
  </si>
  <si>
    <t>234902</t>
  </si>
  <si>
    <t>CANTON ISD</t>
  </si>
  <si>
    <t>3,668</t>
  </si>
  <si>
    <t>7,335</t>
  </si>
  <si>
    <t>14,225</t>
  </si>
  <si>
    <t>071907</t>
  </si>
  <si>
    <t>CANUTILLO ISD</t>
  </si>
  <si>
    <t>4,924</t>
  </si>
  <si>
    <t>9,848</t>
  </si>
  <si>
    <t>18,413</t>
  </si>
  <si>
    <t>191901</t>
  </si>
  <si>
    <t>CANYON ISD</t>
  </si>
  <si>
    <t>3,621</t>
  </si>
  <si>
    <t>7,242</t>
  </si>
  <si>
    <t>14,070</t>
  </si>
  <si>
    <t>201913</t>
  </si>
  <si>
    <t>CARLISLE ISD</t>
  </si>
  <si>
    <t>6,267</t>
  </si>
  <si>
    <t>12,534</t>
  </si>
  <si>
    <t>22,890</t>
  </si>
  <si>
    <t>064903</t>
  </si>
  <si>
    <t>CARRIZO SPRINGS CISD</t>
  </si>
  <si>
    <t>5,767</t>
  </si>
  <si>
    <t>11,533</t>
  </si>
  <si>
    <t>21,222</t>
  </si>
  <si>
    <t>220919</t>
  </si>
  <si>
    <t>CARROLL ISD</t>
  </si>
  <si>
    <t>3,017</t>
  </si>
  <si>
    <t>6,035</t>
  </si>
  <si>
    <t>12,058</t>
  </si>
  <si>
    <t>057903</t>
  </si>
  <si>
    <t>CARROLLTON-FARMERS BRANCH ISD</t>
  </si>
  <si>
    <t>4,955</t>
  </si>
  <si>
    <t>9,911</t>
  </si>
  <si>
    <t>18,518</t>
  </si>
  <si>
    <t>183902</t>
  </si>
  <si>
    <t>CARTHAGE ISD</t>
  </si>
  <si>
    <t>6,435</t>
  </si>
  <si>
    <t>12,871</t>
  </si>
  <si>
    <t>23,451</t>
  </si>
  <si>
    <t>220917</t>
  </si>
  <si>
    <t>CASTLEBERRY ISD</t>
  </si>
  <si>
    <t>6,751</t>
  </si>
  <si>
    <t>13,502</t>
  </si>
  <si>
    <t>24,503</t>
  </si>
  <si>
    <t>001902</t>
  </si>
  <si>
    <t>CAYUGA ISD</t>
  </si>
  <si>
    <t>6,201</t>
  </si>
  <si>
    <t>12,401</t>
  </si>
  <si>
    <t>22,668</t>
  </si>
  <si>
    <t>057904</t>
  </si>
  <si>
    <t>CEDAR HILL ISD</t>
  </si>
  <si>
    <t>4,560</t>
  </si>
  <si>
    <t>9,119</t>
  </si>
  <si>
    <t>17,199</t>
  </si>
  <si>
    <t>227817</t>
  </si>
  <si>
    <t>CEDARS INTERNATIONAL ACADEMY</t>
  </si>
  <si>
    <t>5,820</t>
  </si>
  <si>
    <t>11,639</t>
  </si>
  <si>
    <t>21,399</t>
  </si>
  <si>
    <t>116902</t>
  </si>
  <si>
    <t>CELESTE ISD</t>
  </si>
  <si>
    <t>6,526</t>
  </si>
  <si>
    <t>13,052</t>
  </si>
  <si>
    <t>23,754</t>
  </si>
  <si>
    <t>043903</t>
  </si>
  <si>
    <t>CELINA ISD</t>
  </si>
  <si>
    <t>3,185</t>
  </si>
  <si>
    <t>6,370</t>
  </si>
  <si>
    <t>12,617</t>
  </si>
  <si>
    <t>210901</t>
  </si>
  <si>
    <t>CENTER ISD</t>
  </si>
  <si>
    <t>7,554</t>
  </si>
  <si>
    <t>15,107</t>
  </si>
  <si>
    <t>27,178</t>
  </si>
  <si>
    <t>133901</t>
  </si>
  <si>
    <t>CENTER POINT ISD</t>
  </si>
  <si>
    <t>6,436</t>
  </si>
  <si>
    <t>12,872</t>
  </si>
  <si>
    <t>23,453</t>
  </si>
  <si>
    <t>145902</t>
  </si>
  <si>
    <t>CENTERVILLE ISD</t>
  </si>
  <si>
    <t>6,043</t>
  </si>
  <si>
    <t>12,085</t>
  </si>
  <si>
    <t>22,142</t>
  </si>
  <si>
    <t>228904</t>
  </si>
  <si>
    <t>5,568</t>
  </si>
  <si>
    <t>11,137</t>
  </si>
  <si>
    <t>20,561</t>
  </si>
  <si>
    <t>174908</t>
  </si>
  <si>
    <t>CENTRAL HEIGHTS ISD</t>
  </si>
  <si>
    <t>5,706</t>
  </si>
  <si>
    <t>11,412</t>
  </si>
  <si>
    <t>21,020</t>
  </si>
  <si>
    <t>003907</t>
  </si>
  <si>
    <t>CENTRAL ISD</t>
  </si>
  <si>
    <t>6,898</t>
  </si>
  <si>
    <t>13,795</t>
  </si>
  <si>
    <t>24,992</t>
  </si>
  <si>
    <t>101905</t>
  </si>
  <si>
    <t>CHANNELVIEW ISD</t>
  </si>
  <si>
    <t>5,661</t>
  </si>
  <si>
    <t>11,322</t>
  </si>
  <si>
    <t>20,869</t>
  </si>
  <si>
    <t>103901</t>
  </si>
  <si>
    <t>CHANNING ISD</t>
  </si>
  <si>
    <t>7,197</t>
  </si>
  <si>
    <t>14,395</t>
  </si>
  <si>
    <t>25,992</t>
  </si>
  <si>
    <t>227814</t>
  </si>
  <si>
    <t>CHAPARRAL STAR ACADEMY</t>
  </si>
  <si>
    <t>3,173</t>
  </si>
  <si>
    <t>6,346</t>
  </si>
  <si>
    <t>12,577</t>
  </si>
  <si>
    <t>212909</t>
  </si>
  <si>
    <t>CHAPEL HILL ISD</t>
  </si>
  <si>
    <t>7,638</t>
  </si>
  <si>
    <t>15,277</t>
  </si>
  <si>
    <t>27,461</t>
  </si>
  <si>
    <t>225906</t>
  </si>
  <si>
    <t>5,854</t>
  </si>
  <si>
    <t>11,708</t>
  </si>
  <si>
    <t>21,513</t>
  </si>
  <si>
    <t>007901</t>
  </si>
  <si>
    <t>CHARLOTTE ISD</t>
  </si>
  <si>
    <t>14,116</t>
  </si>
  <si>
    <t>25,527</t>
  </si>
  <si>
    <t>206903</t>
  </si>
  <si>
    <t>CHEROKEE ISD</t>
  </si>
  <si>
    <t>7,366</t>
  </si>
  <si>
    <t>14,732</t>
  </si>
  <si>
    <t>26,553</t>
  </si>
  <si>
    <t>229906</t>
  </si>
  <si>
    <t>CHESTER ISD</t>
  </si>
  <si>
    <t>6,016</t>
  </si>
  <si>
    <t>12,031</t>
  </si>
  <si>
    <t>22,052</t>
  </si>
  <si>
    <t>249904</t>
  </si>
  <si>
    <t>CHICO ISD</t>
  </si>
  <si>
    <t>12,032</t>
  </si>
  <si>
    <t>22,053</t>
  </si>
  <si>
    <t>038901</t>
  </si>
  <si>
    <t>CHILDRESS ISD</t>
  </si>
  <si>
    <t>6,796</t>
  </si>
  <si>
    <t>13,592</t>
  </si>
  <si>
    <t>24,653</t>
  </si>
  <si>
    <t>099902</t>
  </si>
  <si>
    <t>CHILLICOTHE ISD</t>
  </si>
  <si>
    <t>7,813</t>
  </si>
  <si>
    <t>15,626</t>
  </si>
  <si>
    <t>28,043</t>
  </si>
  <si>
    <t>073901</t>
  </si>
  <si>
    <t>CHILTON ISD</t>
  </si>
  <si>
    <t>8,064</t>
  </si>
  <si>
    <t>16,128</t>
  </si>
  <si>
    <t>28,879</t>
  </si>
  <si>
    <t>161920</t>
  </si>
  <si>
    <t>CHINA SPRING ISD</t>
  </si>
  <si>
    <t>5,107</t>
  </si>
  <si>
    <t>10,213</t>
  </si>
  <si>
    <t>19,022</t>
  </si>
  <si>
    <t>174901</t>
  </si>
  <si>
    <t>CHIRENO ISD</t>
  </si>
  <si>
    <t>7,236</t>
  </si>
  <si>
    <t>14,472</t>
  </si>
  <si>
    <t>26,120</t>
  </si>
  <si>
    <t>139905</t>
  </si>
  <si>
    <t>CHISUM ISD</t>
  </si>
  <si>
    <t>5,742</t>
  </si>
  <si>
    <t>11,484</t>
  </si>
  <si>
    <t>21,140</t>
  </si>
  <si>
    <t>226901</t>
  </si>
  <si>
    <t>CHRISTOVAL ISD</t>
  </si>
  <si>
    <t>4,746</t>
  </si>
  <si>
    <t>9,493</t>
  </si>
  <si>
    <t>17,821</t>
  </si>
  <si>
    <t>067902</t>
  </si>
  <si>
    <t>CISCO ISD</t>
  </si>
  <si>
    <t>6,149</t>
  </si>
  <si>
    <t>12,299</t>
  </si>
  <si>
    <t>22,498</t>
  </si>
  <si>
    <t>243906</t>
  </si>
  <si>
    <t>CITY VIEW ISD</t>
  </si>
  <si>
    <t>6,917</t>
  </si>
  <si>
    <t>13,833</t>
  </si>
  <si>
    <t>25,056</t>
  </si>
  <si>
    <t>057841</t>
  </si>
  <si>
    <t>CITYSCAPE SCHOOLS</t>
  </si>
  <si>
    <t>7,024</t>
  </si>
  <si>
    <t>14,048</t>
  </si>
  <si>
    <t>25,414</t>
  </si>
  <si>
    <t>065901</t>
  </si>
  <si>
    <t>CLARENDON ISD</t>
  </si>
  <si>
    <t>6,318</t>
  </si>
  <si>
    <t>12,637</t>
  </si>
  <si>
    <t>23,061</t>
  </si>
  <si>
    <t>194904</t>
  </si>
  <si>
    <t>CLARKSVILLE ISD</t>
  </si>
  <si>
    <t>8,393</t>
  </si>
  <si>
    <t>16,787</t>
  </si>
  <si>
    <t>29,978</t>
  </si>
  <si>
    <t>006902</t>
  </si>
  <si>
    <t>CLAUDE ISD</t>
  </si>
  <si>
    <t>5,222</t>
  </si>
  <si>
    <t>10,444</t>
  </si>
  <si>
    <t>19,407</t>
  </si>
  <si>
    <t>084910</t>
  </si>
  <si>
    <t>CLEAR CREEK ISD</t>
  </si>
  <si>
    <t>3,816</t>
  </si>
  <si>
    <t>7,632</t>
  </si>
  <si>
    <t>14,720</t>
  </si>
  <si>
    <t>126903</t>
  </si>
  <si>
    <t>CLEBURNE ISD</t>
  </si>
  <si>
    <t>5,379</t>
  </si>
  <si>
    <t>10,757</t>
  </si>
  <si>
    <t>19,929</t>
  </si>
  <si>
    <t>146901</t>
  </si>
  <si>
    <t>CLEVELAND ISD</t>
  </si>
  <si>
    <t>5,943</t>
  </si>
  <si>
    <t>11,886</t>
  </si>
  <si>
    <t>21,811</t>
  </si>
  <si>
    <t>018901</t>
  </si>
  <si>
    <t>CLIFTON ISD</t>
  </si>
  <si>
    <t>6,248</t>
  </si>
  <si>
    <t>12,496</t>
  </si>
  <si>
    <t>22,827</t>
  </si>
  <si>
    <t>071901</t>
  </si>
  <si>
    <t>CLINT ISD</t>
  </si>
  <si>
    <t>5,658</t>
  </si>
  <si>
    <t>11,317</t>
  </si>
  <si>
    <t>20,861</t>
  </si>
  <si>
    <t>030902</t>
  </si>
  <si>
    <t>CLYDE CISD</t>
  </si>
  <si>
    <t>4,479</t>
  </si>
  <si>
    <t>8,959</t>
  </si>
  <si>
    <t>16,931</t>
  </si>
  <si>
    <t>114902</t>
  </si>
  <si>
    <t>COAHOMA ISD</t>
  </si>
  <si>
    <t>5,286</t>
  </si>
  <si>
    <t>10,573</t>
  </si>
  <si>
    <t>19,621</t>
  </si>
  <si>
    <t>204901</t>
  </si>
  <si>
    <t>COLDSPRING-OAKHURST CISD</t>
  </si>
  <si>
    <t>6,740</t>
  </si>
  <si>
    <t>13,480</t>
  </si>
  <si>
    <t>24,466</t>
  </si>
  <si>
    <t>042901</t>
  </si>
  <si>
    <t>COLEMAN ISD</t>
  </si>
  <si>
    <t>6,119</t>
  </si>
  <si>
    <t>12,238</t>
  </si>
  <si>
    <t>22,397</t>
  </si>
  <si>
    <t>021901</t>
  </si>
  <si>
    <t>COLLEGE STATION ISD</t>
  </si>
  <si>
    <t>4,344</t>
  </si>
  <si>
    <t>8,689</t>
  </si>
  <si>
    <t>16,482</t>
  </si>
  <si>
    <t>091902</t>
  </si>
  <si>
    <t>COLLINSVILLE ISD</t>
  </si>
  <si>
    <t>6,230</t>
  </si>
  <si>
    <t>12,461</t>
  </si>
  <si>
    <t>22,768</t>
  </si>
  <si>
    <t>229901</t>
  </si>
  <si>
    <t>COLMESNEIL ISD</t>
  </si>
  <si>
    <t>7,029</t>
  </si>
  <si>
    <t>14,058</t>
  </si>
  <si>
    <t>25,431</t>
  </si>
  <si>
    <t>168901</t>
  </si>
  <si>
    <t>COLORADO ISD</t>
  </si>
  <si>
    <t>6,921</t>
  </si>
  <si>
    <t>13,842</t>
  </si>
  <si>
    <t>25,070</t>
  </si>
  <si>
    <t>020907</t>
  </si>
  <si>
    <t>COLUMBIA-BRAZORIA ISD</t>
  </si>
  <si>
    <t>6,484</t>
  </si>
  <si>
    <t>12,967</t>
  </si>
  <si>
    <t>23,612</t>
  </si>
  <si>
    <t>045902</t>
  </si>
  <si>
    <t>COLUMBUS ISD</t>
  </si>
  <si>
    <t>6,330</t>
  </si>
  <si>
    <t>12,661</t>
  </si>
  <si>
    <t>23,101</t>
  </si>
  <si>
    <t>046902</t>
  </si>
  <si>
    <t>COMAL ISD</t>
  </si>
  <si>
    <t>3,440</t>
  </si>
  <si>
    <t>6,880</t>
  </si>
  <si>
    <t>13,467</t>
  </si>
  <si>
    <t>047901</t>
  </si>
  <si>
    <t>COMANCHE ISD</t>
  </si>
  <si>
    <t>6,762</t>
  </si>
  <si>
    <t>13,524</t>
  </si>
  <si>
    <t>24,539</t>
  </si>
  <si>
    <t>130902</t>
  </si>
  <si>
    <t>COMFORT ISD</t>
  </si>
  <si>
    <t>5,906</t>
  </si>
  <si>
    <t>11,812</t>
  </si>
  <si>
    <t>21,686</t>
  </si>
  <si>
    <t>116903</t>
  </si>
  <si>
    <t>COMMERCE ISD</t>
  </si>
  <si>
    <t>7,458</t>
  </si>
  <si>
    <t>14,916</t>
  </si>
  <si>
    <t>26,860</t>
  </si>
  <si>
    <t>043918</t>
  </si>
  <si>
    <t>COMMUNITY ISD</t>
  </si>
  <si>
    <t>3,470</t>
  </si>
  <si>
    <t>6,940</t>
  </si>
  <si>
    <t>13,566</t>
  </si>
  <si>
    <t>112908</t>
  </si>
  <si>
    <t>COMO-PICKTON CISD</t>
  </si>
  <si>
    <t>7,141</t>
  </si>
  <si>
    <t>14,282</t>
  </si>
  <si>
    <t>25,804</t>
  </si>
  <si>
    <t>068802</t>
  </si>
  <si>
    <t>COMPASS ACADEMY CHARTER SCHOOL</t>
  </si>
  <si>
    <t>3,050</t>
  </si>
  <si>
    <t>6,100</t>
  </si>
  <si>
    <t>12,167</t>
  </si>
  <si>
    <t>015838</t>
  </si>
  <si>
    <t>COMPASS ROSE PUBLIC SCHOOLS</t>
  </si>
  <si>
    <t>6,577</t>
  </si>
  <si>
    <t>13,155</t>
  </si>
  <si>
    <t>23,924</t>
  </si>
  <si>
    <t>101842</t>
  </si>
  <si>
    <t>COMQUEST ACADEMY</t>
  </si>
  <si>
    <t>3,574</t>
  </si>
  <si>
    <t>7,147</t>
  </si>
  <si>
    <t>13,912</t>
  </si>
  <si>
    <t>233903</t>
  </si>
  <si>
    <t>COMSTOCK ISD</t>
  </si>
  <si>
    <t>6,094</t>
  </si>
  <si>
    <t>12,188</t>
  </si>
  <si>
    <t>22,313</t>
  </si>
  <si>
    <t>161921</t>
  </si>
  <si>
    <t>CONNALLY ISD</t>
  </si>
  <si>
    <t>6,844</t>
  </si>
  <si>
    <t>13,688</t>
  </si>
  <si>
    <t>24,814</t>
  </si>
  <si>
    <t>170902</t>
  </si>
  <si>
    <t>CONROE ISD</t>
  </si>
  <si>
    <t>4,085</t>
  </si>
  <si>
    <t>8,170</t>
  </si>
  <si>
    <t>15,617</t>
  </si>
  <si>
    <t>147901</t>
  </si>
  <si>
    <t>COOLIDGE ISD</t>
  </si>
  <si>
    <t>7,694</t>
  </si>
  <si>
    <t>15,388</t>
  </si>
  <si>
    <t>27,647</t>
  </si>
  <si>
    <t>060902</t>
  </si>
  <si>
    <t>COOPER ISD</t>
  </si>
  <si>
    <t>6,850</t>
  </si>
  <si>
    <t>13,700</t>
  </si>
  <si>
    <t>24,833</t>
  </si>
  <si>
    <t>057922</t>
  </si>
  <si>
    <t>COPPELL ISD</t>
  </si>
  <si>
    <t>3,128</t>
  </si>
  <si>
    <t>6,255</t>
  </si>
  <si>
    <t>050910</t>
  </si>
  <si>
    <t>COPPERAS COVE ISD</t>
  </si>
  <si>
    <t>4,354</t>
  </si>
  <si>
    <t>8,709</t>
  </si>
  <si>
    <t>178904</t>
  </si>
  <si>
    <t>CORPUS CHRISTI ISD</t>
  </si>
  <si>
    <t>5,709</t>
  </si>
  <si>
    <t>11,418</t>
  </si>
  <si>
    <t>21,030</t>
  </si>
  <si>
    <t>178807</t>
  </si>
  <si>
    <t>CORPUS CHRISTI MONTESSORI SCHOOL</t>
  </si>
  <si>
    <t>4,128</t>
  </si>
  <si>
    <t>8,255</t>
  </si>
  <si>
    <t>15,759</t>
  </si>
  <si>
    <t>187904</t>
  </si>
  <si>
    <t>CORRIGAN-CAMDEN ISD</t>
  </si>
  <si>
    <t>7,558</t>
  </si>
  <si>
    <t>15,117</t>
  </si>
  <si>
    <t>27,195</t>
  </si>
  <si>
    <t>175903</t>
  </si>
  <si>
    <t>CORSICANA ISD</t>
  </si>
  <si>
    <t>5,659</t>
  </si>
  <si>
    <t>11,318</t>
  </si>
  <si>
    <t>20,864</t>
  </si>
  <si>
    <t>095902</t>
  </si>
  <si>
    <t>COTTON CENTER ISD</t>
  </si>
  <si>
    <t>6,848</t>
  </si>
  <si>
    <t>13,697</t>
  </si>
  <si>
    <t>24,828</t>
  </si>
  <si>
    <t>142901</t>
  </si>
  <si>
    <t>COTULLA ISD</t>
  </si>
  <si>
    <t>7,917</t>
  </si>
  <si>
    <t>15,834</t>
  </si>
  <si>
    <t>28,391</t>
  </si>
  <si>
    <t>246914</t>
  </si>
  <si>
    <t>COUPLAND ISD</t>
  </si>
  <si>
    <t>109903</t>
  </si>
  <si>
    <t>COVINGTON ISD</t>
  </si>
  <si>
    <t>6,249</t>
  </si>
  <si>
    <t>12,497</t>
  </si>
  <si>
    <t>22,828</t>
  </si>
  <si>
    <t>129901</t>
  </si>
  <si>
    <t>CRANDALL ISD</t>
  </si>
  <si>
    <t>3,757</t>
  </si>
  <si>
    <t>7,514</t>
  </si>
  <si>
    <t>14,524</t>
  </si>
  <si>
    <t>052901</t>
  </si>
  <si>
    <t>CRANE ISD</t>
  </si>
  <si>
    <t>4,121</t>
  </si>
  <si>
    <t>8,243</t>
  </si>
  <si>
    <t>15,738</t>
  </si>
  <si>
    <t>018908</t>
  </si>
  <si>
    <t>CRANFILLS GAP ISD</t>
  </si>
  <si>
    <t>5,605</t>
  </si>
  <si>
    <t>11,211</t>
  </si>
  <si>
    <t>20,684</t>
  </si>
  <si>
    <t>161901</t>
  </si>
  <si>
    <t>CRAWFORD ISD</t>
  </si>
  <si>
    <t>4,787</t>
  </si>
  <si>
    <t>9,574</t>
  </si>
  <si>
    <t>17,956</t>
  </si>
  <si>
    <t>053001</t>
  </si>
  <si>
    <t>CROCKETT COUNTY CONSOLIDATED CSD</t>
  </si>
  <si>
    <t>6,012</t>
  </si>
  <si>
    <t>12,025</t>
  </si>
  <si>
    <t>22,041</t>
  </si>
  <si>
    <t>113901</t>
  </si>
  <si>
    <t>CROCKETT ISD</t>
  </si>
  <si>
    <t>101906</t>
  </si>
  <si>
    <t>CROSBY ISD</t>
  </si>
  <si>
    <t>4,093</t>
  </si>
  <si>
    <t>8,187</t>
  </si>
  <si>
    <t>15,644</t>
  </si>
  <si>
    <t>054901</t>
  </si>
  <si>
    <t>CROSBYTON CISD</t>
  </si>
  <si>
    <t>8,209</t>
  </si>
  <si>
    <t>16,419</t>
  </si>
  <si>
    <t>29,364</t>
  </si>
  <si>
    <t>030901</t>
  </si>
  <si>
    <t>CROSS PLAINS ISD</t>
  </si>
  <si>
    <t>6,706</t>
  </si>
  <si>
    <t>13,412</t>
  </si>
  <si>
    <t>24,354</t>
  </si>
  <si>
    <t>107904</t>
  </si>
  <si>
    <t>CROSS ROADS ISD</t>
  </si>
  <si>
    <t>5,672</t>
  </si>
  <si>
    <t>11,343</t>
  </si>
  <si>
    <t>20,905</t>
  </si>
  <si>
    <t>184801</t>
  </si>
  <si>
    <t>CROSSTIMBERS ACADEMY</t>
  </si>
  <si>
    <t>5,700</t>
  </si>
  <si>
    <t>11,400</t>
  </si>
  <si>
    <t>21,000</t>
  </si>
  <si>
    <t>078901</t>
  </si>
  <si>
    <t>CROWELL ISD</t>
  </si>
  <si>
    <t>7,212</t>
  </si>
  <si>
    <t>14,423</t>
  </si>
  <si>
    <t>26,038</t>
  </si>
  <si>
    <t>220912</t>
  </si>
  <si>
    <t>CROWLEY ISD</t>
  </si>
  <si>
    <t>4,675</t>
  </si>
  <si>
    <t>9,350</t>
  </si>
  <si>
    <t>17,583</t>
  </si>
  <si>
    <t>254901</t>
  </si>
  <si>
    <t>CRYSTAL CITY ISD</t>
  </si>
  <si>
    <t>8,124</t>
  </si>
  <si>
    <t>16,248</t>
  </si>
  <si>
    <t>29,081</t>
  </si>
  <si>
    <t>062901</t>
  </si>
  <si>
    <t>CUERO ISD</t>
  </si>
  <si>
    <t>6,500</t>
  </si>
  <si>
    <t>13,000</t>
  </si>
  <si>
    <t>23,667</t>
  </si>
  <si>
    <t>055901</t>
  </si>
  <si>
    <t>CULBERSON COUNTY-ALLAMOORE ISD</t>
  </si>
  <si>
    <t>8,050</t>
  </si>
  <si>
    <t>16,100</t>
  </si>
  <si>
    <t>28,834</t>
  </si>
  <si>
    <t>212801</t>
  </si>
  <si>
    <t>CUMBERLAND ACADEMY</t>
  </si>
  <si>
    <t>17,346</t>
  </si>
  <si>
    <t>112905</t>
  </si>
  <si>
    <t>CUMBY ISD</t>
  </si>
  <si>
    <t>6,048</t>
  </si>
  <si>
    <t>12,095</t>
  </si>
  <si>
    <t>22,159</t>
  </si>
  <si>
    <t>174902</t>
  </si>
  <si>
    <t>CUSHING ISD</t>
  </si>
  <si>
    <t>6,944</t>
  </si>
  <si>
    <t>13,888</t>
  </si>
  <si>
    <t>25,147</t>
  </si>
  <si>
    <t>101907</t>
  </si>
  <si>
    <t>CYPRESS-FAIRBANKS ISD</t>
  </si>
  <si>
    <t>4,323</t>
  </si>
  <si>
    <t>8,645</t>
  </si>
  <si>
    <t>16,409</t>
  </si>
  <si>
    <t>172902</t>
  </si>
  <si>
    <t>DAINGERFIELD-LONE STAR ISD</t>
  </si>
  <si>
    <t>7,709</t>
  </si>
  <si>
    <t>15,419</t>
  </si>
  <si>
    <t>27,698</t>
  </si>
  <si>
    <t>056901</t>
  </si>
  <si>
    <t>DALHART ISD</t>
  </si>
  <si>
    <t>7,088</t>
  </si>
  <si>
    <t>14,177</t>
  </si>
  <si>
    <t>25,628</t>
  </si>
  <si>
    <t>057905</t>
  </si>
  <si>
    <t>DALLAS ISD</t>
  </si>
  <si>
    <t>6,794</t>
  </si>
  <si>
    <t>13,587</t>
  </si>
  <si>
    <t>24,645</t>
  </si>
  <si>
    <t>020910</t>
  </si>
  <si>
    <t>DAMON ISD</t>
  </si>
  <si>
    <t>7,663</t>
  </si>
  <si>
    <t>15,327</t>
  </si>
  <si>
    <t>27,545</t>
  </si>
  <si>
    <t>020904</t>
  </si>
  <si>
    <t>DANBURY ISD</t>
  </si>
  <si>
    <t>5,003</t>
  </si>
  <si>
    <t>10,006</t>
  </si>
  <si>
    <t>18,677</t>
  </si>
  <si>
    <t>148905</t>
  </si>
  <si>
    <t>DARROUZETT ISD</t>
  </si>
  <si>
    <t>7,518</t>
  </si>
  <si>
    <t>15,037</t>
  </si>
  <si>
    <t>27,061</t>
  </si>
  <si>
    <t>058902</t>
  </si>
  <si>
    <t>DAWSON ISD</t>
  </si>
  <si>
    <t>7,025</t>
  </si>
  <si>
    <t>14,050</t>
  </si>
  <si>
    <t>25,417</t>
  </si>
  <si>
    <t>175904</t>
  </si>
  <si>
    <t>7,268</t>
  </si>
  <si>
    <t>14,535</t>
  </si>
  <si>
    <t>26,226</t>
  </si>
  <si>
    <t>146902</t>
  </si>
  <si>
    <t>DAYTON ISD</t>
  </si>
  <si>
    <t>4,402</t>
  </si>
  <si>
    <t>8,805</t>
  </si>
  <si>
    <t>16,674</t>
  </si>
  <si>
    <t>047902</t>
  </si>
  <si>
    <t>DE LEON ISD</t>
  </si>
  <si>
    <t>6,349</t>
  </si>
  <si>
    <t>12,698</t>
  </si>
  <si>
    <t>23,164</t>
  </si>
  <si>
    <t>249905</t>
  </si>
  <si>
    <t>DECATUR ISD</t>
  </si>
  <si>
    <t>4,278</t>
  </si>
  <si>
    <t>8,556</t>
  </si>
  <si>
    <t>16,259</t>
  </si>
  <si>
    <t>101908</t>
  </si>
  <si>
    <t>DEER PARK ISD</t>
  </si>
  <si>
    <t>4,332</t>
  </si>
  <si>
    <t>16,441</t>
  </si>
  <si>
    <t>019901</t>
  </si>
  <si>
    <t>DEKALB ISD</t>
  </si>
  <si>
    <t>6,857</t>
  </si>
  <si>
    <t>13,714</t>
  </si>
  <si>
    <t>24,856</t>
  </si>
  <si>
    <t>227910</t>
  </si>
  <si>
    <t>DEL VALLE ISD</t>
  </si>
  <si>
    <t>5,036</t>
  </si>
  <si>
    <t>10,072</t>
  </si>
  <si>
    <t>18,787</t>
  </si>
  <si>
    <t>115903</t>
  </si>
  <si>
    <t>DELL CITY ISD</t>
  </si>
  <si>
    <t>14,410</t>
  </si>
  <si>
    <t>26,016</t>
  </si>
  <si>
    <t>091903</t>
  </si>
  <si>
    <t>DENISON ISD</t>
  </si>
  <si>
    <t>5,524</t>
  </si>
  <si>
    <t>11,048</t>
  </si>
  <si>
    <t>20,413</t>
  </si>
  <si>
    <t>061901</t>
  </si>
  <si>
    <t>DENTON ISD</t>
  </si>
  <si>
    <t>4,074</t>
  </si>
  <si>
    <t>8,148</t>
  </si>
  <si>
    <t>15,579</t>
  </si>
  <si>
    <t>251901</t>
  </si>
  <si>
    <t>DENVER CITY ISD</t>
  </si>
  <si>
    <t>6,475</t>
  </si>
  <si>
    <t>12,951</t>
  </si>
  <si>
    <t>23,584</t>
  </si>
  <si>
    <t>057906</t>
  </si>
  <si>
    <t>DESOTO ISD</t>
  </si>
  <si>
    <t>4,547</t>
  </si>
  <si>
    <t>9,093</t>
  </si>
  <si>
    <t>17,156</t>
  </si>
  <si>
    <t>194905</t>
  </si>
  <si>
    <t>DETROIT ISD</t>
  </si>
  <si>
    <t>13,029</t>
  </si>
  <si>
    <t>23,715</t>
  </si>
  <si>
    <t>146903</t>
  </si>
  <si>
    <t>DEVERS ISD</t>
  </si>
  <si>
    <t>5,836</t>
  </si>
  <si>
    <t>11,672</t>
  </si>
  <si>
    <t>21,454</t>
  </si>
  <si>
    <t>163901</t>
  </si>
  <si>
    <t>DEVINE ISD</t>
  </si>
  <si>
    <t>6,708</t>
  </si>
  <si>
    <t>13,416</t>
  </si>
  <si>
    <t>24,360</t>
  </si>
  <si>
    <t>081906</t>
  </si>
  <si>
    <t>DEW ISD</t>
  </si>
  <si>
    <t>6,604</t>
  </si>
  <si>
    <t>13,207</t>
  </si>
  <si>
    <t>24,012</t>
  </si>
  <si>
    <t>176903</t>
  </si>
  <si>
    <t>DEWEYVILLE ISD</t>
  </si>
  <si>
    <t>6,747</t>
  </si>
  <si>
    <t>13,495</t>
  </si>
  <si>
    <t>24,491</t>
  </si>
  <si>
    <t>163902</t>
  </si>
  <si>
    <t>D'HANIS ISD</t>
  </si>
  <si>
    <t>5,565</t>
  </si>
  <si>
    <t>11,131</t>
  </si>
  <si>
    <t>20,551</t>
  </si>
  <si>
    <t>003905</t>
  </si>
  <si>
    <t>DIBOLL ISD</t>
  </si>
  <si>
    <t>7,211</t>
  </si>
  <si>
    <t>14,422</t>
  </si>
  <si>
    <t>26,037</t>
  </si>
  <si>
    <t>084901</t>
  </si>
  <si>
    <t>DICKINSON ISD</t>
  </si>
  <si>
    <t>4,571</t>
  </si>
  <si>
    <t>9,143</t>
  </si>
  <si>
    <t>17,238</t>
  </si>
  <si>
    <t>082902</t>
  </si>
  <si>
    <t>DILLEY ISD</t>
  </si>
  <si>
    <t>7,812</t>
  </si>
  <si>
    <t>15,624</t>
  </si>
  <si>
    <t>28,040</t>
  </si>
  <si>
    <t>144903</t>
  </si>
  <si>
    <t>DIME BOX ISD</t>
  </si>
  <si>
    <t>7,961</t>
  </si>
  <si>
    <t>15,922</t>
  </si>
  <si>
    <t>28,536</t>
  </si>
  <si>
    <t>035901</t>
  </si>
  <si>
    <t>DIMMITT ISD</t>
  </si>
  <si>
    <t>5,434</t>
  </si>
  <si>
    <t>10,867</t>
  </si>
  <si>
    <t>20,112</t>
  </si>
  <si>
    <t>133905</t>
  </si>
  <si>
    <t>DIVIDE ISD</t>
  </si>
  <si>
    <t>5,500</t>
  </si>
  <si>
    <t>11,000</t>
  </si>
  <si>
    <t>20,333</t>
  </si>
  <si>
    <t>074904</t>
  </si>
  <si>
    <t>DODD CITY ISD</t>
  </si>
  <si>
    <t>5,449</t>
  </si>
  <si>
    <t>10,898</t>
  </si>
  <si>
    <t>20,163</t>
  </si>
  <si>
    <t>108902</t>
  </si>
  <si>
    <t>DONNA ISD</t>
  </si>
  <si>
    <t>6,922</t>
  </si>
  <si>
    <t>13,843</t>
  </si>
  <si>
    <t>25,072</t>
  </si>
  <si>
    <t>DORAL ACADEMY OF TEXAS</t>
  </si>
  <si>
    <t>105804</t>
  </si>
  <si>
    <t>5,692</t>
  </si>
  <si>
    <t>11,385</t>
  </si>
  <si>
    <t>20,974</t>
  </si>
  <si>
    <t>086024</t>
  </si>
  <si>
    <t>DOSS CONSOLIDATED CSD</t>
  </si>
  <si>
    <t>4,500</t>
  </si>
  <si>
    <t>9,000</t>
  </si>
  <si>
    <t>17,000</t>
  </si>
  <si>
    <t>174911</t>
  </si>
  <si>
    <t>DOUGLASS ISD</t>
  </si>
  <si>
    <t>5,362</t>
  </si>
  <si>
    <t>10,725</t>
  </si>
  <si>
    <t>19,874</t>
  </si>
  <si>
    <t>178801</t>
  </si>
  <si>
    <t>DR M L GARZA-GONZALEZ CHARTER SCHOOL</t>
  </si>
  <si>
    <t>7,148</t>
  </si>
  <si>
    <t>14,296</t>
  </si>
  <si>
    <t>25,827</t>
  </si>
  <si>
    <t>101856</t>
  </si>
  <si>
    <t>DRAW ACADEMY</t>
  </si>
  <si>
    <t>7,928</t>
  </si>
  <si>
    <t>15,856</t>
  </si>
  <si>
    <t>28,426</t>
  </si>
  <si>
    <t>105904</t>
  </si>
  <si>
    <t>DRIPPING SPRINGS ISD</t>
  </si>
  <si>
    <t>3,079</t>
  </si>
  <si>
    <t>6,158</t>
  </si>
  <si>
    <t>12,263</t>
  </si>
  <si>
    <t>178905</t>
  </si>
  <si>
    <t>DRISCOLL ISD</t>
  </si>
  <si>
    <t>8,093</t>
  </si>
  <si>
    <t>16,186</t>
  </si>
  <si>
    <t>28,977</t>
  </si>
  <si>
    <t>072902</t>
  </si>
  <si>
    <t>DUBLIN ISD</t>
  </si>
  <si>
    <t>7,344</t>
  </si>
  <si>
    <t>14,687</t>
  </si>
  <si>
    <t>26,479</t>
  </si>
  <si>
    <t>171901</t>
  </si>
  <si>
    <t>DUMAS ISD</t>
  </si>
  <si>
    <t>7,597</t>
  </si>
  <si>
    <t>15,193</t>
  </si>
  <si>
    <t>27,322</t>
  </si>
  <si>
    <t>057907</t>
  </si>
  <si>
    <t>DUNCANVILLE ISD</t>
  </si>
  <si>
    <t>5,676</t>
  </si>
  <si>
    <t>11,352</t>
  </si>
  <si>
    <t>20,920</t>
  </si>
  <si>
    <t>220918</t>
  </si>
  <si>
    <t>EAGLE MT-SAGINAW ISD</t>
  </si>
  <si>
    <t>3,821</t>
  </si>
  <si>
    <t>7,643</t>
  </si>
  <si>
    <t>14,738</t>
  </si>
  <si>
    <t>159901</t>
  </si>
  <si>
    <t>EAGLE PASS ISD</t>
  </si>
  <si>
    <t>5,621</t>
  </si>
  <si>
    <t>11,243</t>
  </si>
  <si>
    <t>20,738</t>
  </si>
  <si>
    <t>227909</t>
  </si>
  <si>
    <t>EANES ISD</t>
  </si>
  <si>
    <t>3,035</t>
  </si>
  <si>
    <t>6,071</t>
  </si>
  <si>
    <t>12,118</t>
  </si>
  <si>
    <t>025909</t>
  </si>
  <si>
    <t>EARLY ISD</t>
  </si>
  <si>
    <t>5,905</t>
  </si>
  <si>
    <t>11,811</t>
  </si>
  <si>
    <t>21,685</t>
  </si>
  <si>
    <t>241902</t>
  </si>
  <si>
    <t>EAST BERNARD ISD</t>
  </si>
  <si>
    <t>5,579</t>
  </si>
  <si>
    <t>11,158</t>
  </si>
  <si>
    <t>20,597</t>
  </si>
  <si>
    <t>015911</t>
  </si>
  <si>
    <t>EAST CENTRAL ISD</t>
  </si>
  <si>
    <t>4,601</t>
  </si>
  <si>
    <t>9,202</t>
  </si>
  <si>
    <t>17,336</t>
  </si>
  <si>
    <t>036903</t>
  </si>
  <si>
    <t>EAST CHAMBERS ISD</t>
  </si>
  <si>
    <t>6,460</t>
  </si>
  <si>
    <t>12,920</t>
  </si>
  <si>
    <t>23,533</t>
  </si>
  <si>
    <t>220811</t>
  </si>
  <si>
    <t>EAST FORT WORTH MONTESSORI ACADEMY</t>
  </si>
  <si>
    <t>5,794</t>
  </si>
  <si>
    <t>11,588</t>
  </si>
  <si>
    <t>21,313</t>
  </si>
  <si>
    <t>092801</t>
  </si>
  <si>
    <t>EAST TEXAS CHARTER SCHOOLS</t>
  </si>
  <si>
    <t>3,680</t>
  </si>
  <si>
    <t>7,359</t>
  </si>
  <si>
    <t>14,266</t>
  </si>
  <si>
    <t>067903</t>
  </si>
  <si>
    <t>EASTLAND ISD</t>
  </si>
  <si>
    <t>6,536</t>
  </si>
  <si>
    <t>13,073</t>
  </si>
  <si>
    <t>23,788</t>
  </si>
  <si>
    <t>068901</t>
  </si>
  <si>
    <t>ECTOR COUNTY ISD</t>
  </si>
  <si>
    <t>5,370</t>
  </si>
  <si>
    <t>10,740</t>
  </si>
  <si>
    <t>19,900</t>
  </si>
  <si>
    <t>074905</t>
  </si>
  <si>
    <t>ECTOR ISD</t>
  </si>
  <si>
    <t>6,430</t>
  </si>
  <si>
    <t>12,861</t>
  </si>
  <si>
    <t>23,435</t>
  </si>
  <si>
    <t>108903</t>
  </si>
  <si>
    <t>EDCOUCH-ELSA ISD</t>
  </si>
  <si>
    <t>6,873</t>
  </si>
  <si>
    <t>13,746</t>
  </si>
  <si>
    <t>24,909</t>
  </si>
  <si>
    <t>048901</t>
  </si>
  <si>
    <t>EDEN CISD</t>
  </si>
  <si>
    <t>7,326</t>
  </si>
  <si>
    <t>14,651</t>
  </si>
  <si>
    <t>26,419</t>
  </si>
  <si>
    <t>015905</t>
  </si>
  <si>
    <t>EDGEWOOD ISD</t>
  </si>
  <si>
    <t>234903</t>
  </si>
  <si>
    <t>11,959</t>
  </si>
  <si>
    <t>21,931</t>
  </si>
  <si>
    <t>108904</t>
  </si>
  <si>
    <t>EDINBURG CISD</t>
  </si>
  <si>
    <t>5,942</t>
  </si>
  <si>
    <t>11,884</t>
  </si>
  <si>
    <t>21,807</t>
  </si>
  <si>
    <t>120901</t>
  </si>
  <si>
    <t>EDNA ISD</t>
  </si>
  <si>
    <t>7,093</t>
  </si>
  <si>
    <t>14,187</t>
  </si>
  <si>
    <t>25,644</t>
  </si>
  <si>
    <t>057833</t>
  </si>
  <si>
    <t>EDUCATION CENTER INTERNATIONAL ACADEMY</t>
  </si>
  <si>
    <t>4,300</t>
  </si>
  <si>
    <t>8,600</t>
  </si>
  <si>
    <t>16,333</t>
  </si>
  <si>
    <t>123805</t>
  </si>
  <si>
    <t>EHRHART SCHOOL</t>
  </si>
  <si>
    <t>13,017</t>
  </si>
  <si>
    <t>23,695</t>
  </si>
  <si>
    <t>241903</t>
  </si>
  <si>
    <t>EL CAMPO ISD</t>
  </si>
  <si>
    <t>5,761</t>
  </si>
  <si>
    <t>11,522</t>
  </si>
  <si>
    <t>21,204</t>
  </si>
  <si>
    <t>071804</t>
  </si>
  <si>
    <t>EL PASO ACADEMY</t>
  </si>
  <si>
    <t>5,513</t>
  </si>
  <si>
    <t>11,027</t>
  </si>
  <si>
    <t>20,378</t>
  </si>
  <si>
    <t>071902</t>
  </si>
  <si>
    <t>EL PASO ISD</t>
  </si>
  <si>
    <t>5,724</t>
  </si>
  <si>
    <t>11,447</t>
  </si>
  <si>
    <t>21,079</t>
  </si>
  <si>
    <t>071810</t>
  </si>
  <si>
    <t>EL PASO LEADERSHIP ACADEMY</t>
  </si>
  <si>
    <t>6,051</t>
  </si>
  <si>
    <t>12,103</t>
  </si>
  <si>
    <t>22,171</t>
  </si>
  <si>
    <t>015836</t>
  </si>
  <si>
    <t>ELEANOR KOLITZ HEBREW LANGUAGE ACADEMY</t>
  </si>
  <si>
    <t>3,394</t>
  </si>
  <si>
    <t>6,787</t>
  </si>
  <si>
    <t>13,312</t>
  </si>
  <si>
    <t>243902</t>
  </si>
  <si>
    <t>ELECTRA ISD</t>
  </si>
  <si>
    <t>24,813</t>
  </si>
  <si>
    <t>101877</t>
  </si>
  <si>
    <t>ELEVATE COLLEGIATE CHARTER SCHOOL</t>
  </si>
  <si>
    <t>6,180</t>
  </si>
  <si>
    <t>12,359</t>
  </si>
  <si>
    <t>22,599</t>
  </si>
  <si>
    <t>011902</t>
  </si>
  <si>
    <t>ELGIN ISD</t>
  </si>
  <si>
    <t>4,424</t>
  </si>
  <si>
    <t>8,847</t>
  </si>
  <si>
    <t>16,746</t>
  </si>
  <si>
    <t>001903</t>
  </si>
  <si>
    <t>ELKHART ISD</t>
  </si>
  <si>
    <t>6,256</t>
  </si>
  <si>
    <t>12,511</t>
  </si>
  <si>
    <t>22,852</t>
  </si>
  <si>
    <t>102906</t>
  </si>
  <si>
    <t>ELYSIAN FIELDS ISD</t>
  </si>
  <si>
    <t>5,717</t>
  </si>
  <si>
    <t>11,434</t>
  </si>
  <si>
    <t>21,056</t>
  </si>
  <si>
    <t>070903</t>
  </si>
  <si>
    <t>ENNIS ISD</t>
  </si>
  <si>
    <t>4,846</t>
  </si>
  <si>
    <t>9,692</t>
  </si>
  <si>
    <t>18,154</t>
  </si>
  <si>
    <t>049906</t>
  </si>
  <si>
    <t>ERA ISD</t>
  </si>
  <si>
    <t>5,609</t>
  </si>
  <si>
    <t>11,217</t>
  </si>
  <si>
    <t>20,696</t>
  </si>
  <si>
    <t>072802</t>
  </si>
  <si>
    <t>ERATH EXCELS ACADEMY INC</t>
  </si>
  <si>
    <t>8,019</t>
  </si>
  <si>
    <t>16,037</t>
  </si>
  <si>
    <t>28,729</t>
  </si>
  <si>
    <t>ESSENCE PREPARATORY CHARTER SCHOOL</t>
  </si>
  <si>
    <t>015844</t>
  </si>
  <si>
    <t>7,642</t>
  </si>
  <si>
    <t>15,284</t>
  </si>
  <si>
    <t>27,473</t>
  </si>
  <si>
    <t>101872</t>
  </si>
  <si>
    <t>ETOILE ACADEMY CHARTER SCHOOL</t>
  </si>
  <si>
    <t>8,242</t>
  </si>
  <si>
    <t>16,485</t>
  </si>
  <si>
    <t>29,474</t>
  </si>
  <si>
    <t>174910</t>
  </si>
  <si>
    <t>ETOILE ISD</t>
  </si>
  <si>
    <t>Inactive</t>
  </si>
  <si>
    <t>030906</t>
  </si>
  <si>
    <t>EULA ISD</t>
  </si>
  <si>
    <t>5,554</t>
  </si>
  <si>
    <t>11,109</t>
  </si>
  <si>
    <t>20,514</t>
  </si>
  <si>
    <t>107905</t>
  </si>
  <si>
    <t>EUSTACE ISD</t>
  </si>
  <si>
    <t>6,753</t>
  </si>
  <si>
    <t>13,506</t>
  </si>
  <si>
    <t>24,510</t>
  </si>
  <si>
    <t>121906</t>
  </si>
  <si>
    <t>EVADALE ISD</t>
  </si>
  <si>
    <t>12,237</t>
  </si>
  <si>
    <t>22,396</t>
  </si>
  <si>
    <t>050901</t>
  </si>
  <si>
    <t>EVANT ISD</t>
  </si>
  <si>
    <t>6,860</t>
  </si>
  <si>
    <t>13,721</t>
  </si>
  <si>
    <t>24,868</t>
  </si>
  <si>
    <t>220904</t>
  </si>
  <si>
    <t>EVERMAN ISD</t>
  </si>
  <si>
    <t>6,057</t>
  </si>
  <si>
    <t>12,114</t>
  </si>
  <si>
    <t>22,190</t>
  </si>
  <si>
    <t>057834</t>
  </si>
  <si>
    <t>EVOLUTION ACADEMY CHARTER SCHOOL</t>
  </si>
  <si>
    <t>5,595</t>
  </si>
  <si>
    <t>11,190</t>
  </si>
  <si>
    <t>20,650</t>
  </si>
  <si>
    <t>101811</t>
  </si>
  <si>
    <t>EXCEL ACADEMY</t>
  </si>
  <si>
    <t>7,363</t>
  </si>
  <si>
    <t>14,727</t>
  </si>
  <si>
    <t>26,545</t>
  </si>
  <si>
    <t>108809</t>
  </si>
  <si>
    <t>EXCELLENCE IN LEADERSHIP ACADEMY</t>
  </si>
  <si>
    <t>5,951</t>
  </si>
  <si>
    <t>11,902</t>
  </si>
  <si>
    <t>21,836</t>
  </si>
  <si>
    <t>210906</t>
  </si>
  <si>
    <t>EXCELSIOR ISD</t>
  </si>
  <si>
    <t>6,705</t>
  </si>
  <si>
    <t>13,410</t>
  </si>
  <si>
    <t>24,349</t>
  </si>
  <si>
    <t>143906</t>
  </si>
  <si>
    <t>EZZELL ISD</t>
  </si>
  <si>
    <t>5,845</t>
  </si>
  <si>
    <t>11,690</t>
  </si>
  <si>
    <t>21,484</t>
  </si>
  <si>
    <t>071903</t>
  </si>
  <si>
    <t>FABENS ISD</t>
  </si>
  <si>
    <t>16,101</t>
  </si>
  <si>
    <t>081902</t>
  </si>
  <si>
    <t>FAIRFIELD ISD</t>
  </si>
  <si>
    <t>13,162</t>
  </si>
  <si>
    <t>23,937</t>
  </si>
  <si>
    <t>128904</t>
  </si>
  <si>
    <t>FALLS CITY ISD</t>
  </si>
  <si>
    <t>4,913</t>
  </si>
  <si>
    <t>9,826</t>
  </si>
  <si>
    <t>18,377</t>
  </si>
  <si>
    <t>060914</t>
  </si>
  <si>
    <t>FANNINDEL ISD</t>
  </si>
  <si>
    <t>7,815</t>
  </si>
  <si>
    <t>15,630</t>
  </si>
  <si>
    <t>28,051</t>
  </si>
  <si>
    <t>043904</t>
  </si>
  <si>
    <t>FARMERSVILLE ISD</t>
  </si>
  <si>
    <t>6,212</t>
  </si>
  <si>
    <t>12,424</t>
  </si>
  <si>
    <t>22,707</t>
  </si>
  <si>
    <t>185902</t>
  </si>
  <si>
    <t>FARWELL ISD</t>
  </si>
  <si>
    <t>13,490</t>
  </si>
  <si>
    <t>24,483</t>
  </si>
  <si>
    <t>075906</t>
  </si>
  <si>
    <t>FAYETTEVILLE ISD</t>
  </si>
  <si>
    <t>4,894</t>
  </si>
  <si>
    <t>9,788</t>
  </si>
  <si>
    <t>18,313</t>
  </si>
  <si>
    <t>070905</t>
  </si>
  <si>
    <t>FERRIS ISD</t>
  </si>
  <si>
    <t>7,151</t>
  </si>
  <si>
    <t>14,301</t>
  </si>
  <si>
    <t>25,835</t>
  </si>
  <si>
    <t>075901</t>
  </si>
  <si>
    <t>FLATONIA ISD</t>
  </si>
  <si>
    <t>6,044</t>
  </si>
  <si>
    <t>12,087</t>
  </si>
  <si>
    <t>22,145</t>
  </si>
  <si>
    <t>246902</t>
  </si>
  <si>
    <t>FLORENCE ISD</t>
  </si>
  <si>
    <t>5,917</t>
  </si>
  <si>
    <t>11,834</t>
  </si>
  <si>
    <t>21,723</t>
  </si>
  <si>
    <t>247901</t>
  </si>
  <si>
    <t>FLORESVILLE ISD</t>
  </si>
  <si>
    <t>4,293</t>
  </si>
  <si>
    <t>8,586</t>
  </si>
  <si>
    <t>16,310</t>
  </si>
  <si>
    <t>178914</t>
  </si>
  <si>
    <t>FLOUR BLUFF ISD</t>
  </si>
  <si>
    <t>4,443</t>
  </si>
  <si>
    <t>8,886</t>
  </si>
  <si>
    <t>16,810</t>
  </si>
  <si>
    <t>077901</t>
  </si>
  <si>
    <t>FLOYDADA COLLEGIATE ISD</t>
  </si>
  <si>
    <t>7,329</t>
  </si>
  <si>
    <t>14,659</t>
  </si>
  <si>
    <t>26,431</t>
  </si>
  <si>
    <t>148902</t>
  </si>
  <si>
    <t>FOLLETT ISD</t>
  </si>
  <si>
    <t>5,625</t>
  </si>
  <si>
    <t>11,250</t>
  </si>
  <si>
    <t>20,750</t>
  </si>
  <si>
    <t>169910</t>
  </si>
  <si>
    <t>FORESTBURG ISD</t>
  </si>
  <si>
    <t>5,684</t>
  </si>
  <si>
    <t>11,368</t>
  </si>
  <si>
    <t>20,947</t>
  </si>
  <si>
    <t>129902</t>
  </si>
  <si>
    <t>FORNEY ISD</t>
  </si>
  <si>
    <t>3,892</t>
  </si>
  <si>
    <t>7,785</t>
  </si>
  <si>
    <t>14,974</t>
  </si>
  <si>
    <t>114904</t>
  </si>
  <si>
    <t>FORSAN ISD</t>
  </si>
  <si>
    <t>20,862</t>
  </si>
  <si>
    <t>079907</t>
  </si>
  <si>
    <t>FORT BEND ISD</t>
  </si>
  <si>
    <t>3,871</t>
  </si>
  <si>
    <t>7,742</t>
  </si>
  <si>
    <t>14,903</t>
  </si>
  <si>
    <t>242906</t>
  </si>
  <si>
    <t>FORT ELLIOTT CISD</t>
  </si>
  <si>
    <t>5,167</t>
  </si>
  <si>
    <t>10,333</t>
  </si>
  <si>
    <t>19,222</t>
  </si>
  <si>
    <t>186902</t>
  </si>
  <si>
    <t>FORT STOCKTON ISD</t>
  </si>
  <si>
    <t>5,124</t>
  </si>
  <si>
    <t>10,248</t>
  </si>
  <si>
    <t>19,080</t>
  </si>
  <si>
    <t>220809</t>
  </si>
  <si>
    <t>FORT WORTH ACADEMY OF FINE ARTS</t>
  </si>
  <si>
    <t>3,223</t>
  </si>
  <si>
    <t>6,446</t>
  </si>
  <si>
    <t>12,743</t>
  </si>
  <si>
    <t>220905</t>
  </si>
  <si>
    <t>FORT WORTH ISD</t>
  </si>
  <si>
    <t>6,681</t>
  </si>
  <si>
    <t>13,362</t>
  </si>
  <si>
    <t>24,269</t>
  </si>
  <si>
    <t>198903</t>
  </si>
  <si>
    <t>FRANKLIN ISD</t>
  </si>
  <si>
    <t>5,902</t>
  </si>
  <si>
    <t>11,804</t>
  </si>
  <si>
    <t>21,674</t>
  </si>
  <si>
    <t>001904</t>
  </si>
  <si>
    <t>FRANKSTON ISD</t>
  </si>
  <si>
    <t>6,127</t>
  </si>
  <si>
    <t>12,254</t>
  </si>
  <si>
    <t>22,423</t>
  </si>
  <si>
    <t>086901</t>
  </si>
  <si>
    <t>FREDERICKSBURG ISD</t>
  </si>
  <si>
    <t>4,425</t>
  </si>
  <si>
    <t>8,850</t>
  </si>
  <si>
    <t>16,750</t>
  </si>
  <si>
    <t>066903</t>
  </si>
  <si>
    <t>FREER ISD</t>
  </si>
  <si>
    <t>8,479</t>
  </si>
  <si>
    <t>16,958</t>
  </si>
  <si>
    <t>30,263</t>
  </si>
  <si>
    <t>152907</t>
  </si>
  <si>
    <t>FRENSHIP ISD</t>
  </si>
  <si>
    <t>4,096</t>
  </si>
  <si>
    <t>8,192</t>
  </si>
  <si>
    <t>15,654</t>
  </si>
  <si>
    <t>084911</t>
  </si>
  <si>
    <t>FRIENDSWOOD ISD</t>
  </si>
  <si>
    <t>3,084</t>
  </si>
  <si>
    <t>6,167</t>
  </si>
  <si>
    <t>12,279</t>
  </si>
  <si>
    <t>185903</t>
  </si>
  <si>
    <t>FRIONA ISD</t>
  </si>
  <si>
    <t>6,851</t>
  </si>
  <si>
    <t>13,703</t>
  </si>
  <si>
    <t>24,838</t>
  </si>
  <si>
    <t>043905</t>
  </si>
  <si>
    <t>FRISCO ISD</t>
  </si>
  <si>
    <t>3,187</t>
  </si>
  <si>
    <t>6,374</t>
  </si>
  <si>
    <t>12,623</t>
  </si>
  <si>
    <t>175905</t>
  </si>
  <si>
    <t>FROST ISD</t>
  </si>
  <si>
    <t>6,462</t>
  </si>
  <si>
    <t>12,923</t>
  </si>
  <si>
    <t>23,538</t>
  </si>
  <si>
    <t>234909</t>
  </si>
  <si>
    <t>FRUITVALE ISD</t>
  </si>
  <si>
    <t>14,106</t>
  </si>
  <si>
    <t>25,509</t>
  </si>
  <si>
    <t>122901</t>
  </si>
  <si>
    <t>FT DAVIS ISD</t>
  </si>
  <si>
    <t>6,520</t>
  </si>
  <si>
    <t>13,041</t>
  </si>
  <si>
    <t>23,735</t>
  </si>
  <si>
    <t>115901</t>
  </si>
  <si>
    <t>FT HANCOCK ISD</t>
  </si>
  <si>
    <t>8,155</t>
  </si>
  <si>
    <t>29,183</t>
  </si>
  <si>
    <t>015914</t>
  </si>
  <si>
    <t>FT SAM HOUSTON ISD</t>
  </si>
  <si>
    <t>5,178</t>
  </si>
  <si>
    <t>10,355</t>
  </si>
  <si>
    <t>19,258</t>
  </si>
  <si>
    <t>049901</t>
  </si>
  <si>
    <t>GAINESVILLE ISD</t>
  </si>
  <si>
    <t>7,224</t>
  </si>
  <si>
    <t>14,447</t>
  </si>
  <si>
    <t>26,079</t>
  </si>
  <si>
    <t>101910</t>
  </si>
  <si>
    <t>GALENA PARK ISD</t>
  </si>
  <si>
    <t>6,731</t>
  </si>
  <si>
    <t>13,462</t>
  </si>
  <si>
    <t>24,436</t>
  </si>
  <si>
    <t>084902</t>
  </si>
  <si>
    <t>GALVESTON ISD</t>
  </si>
  <si>
    <t>5,909</t>
  </si>
  <si>
    <t>11,819</t>
  </si>
  <si>
    <t>21,698</t>
  </si>
  <si>
    <t>120902</t>
  </si>
  <si>
    <t>GANADO ISD</t>
  </si>
  <si>
    <t>6,908</t>
  </si>
  <si>
    <t>13,816</t>
  </si>
  <si>
    <t>25,027</t>
  </si>
  <si>
    <t>057909</t>
  </si>
  <si>
    <t>GARLAND ISD</t>
  </si>
  <si>
    <t>5,035</t>
  </si>
  <si>
    <t>10,070</t>
  </si>
  <si>
    <t>18,784</t>
  </si>
  <si>
    <t>184911</t>
  </si>
  <si>
    <t>GARNER ISD</t>
  </si>
  <si>
    <t>5,844</t>
  </si>
  <si>
    <t>11,689</t>
  </si>
  <si>
    <t>21,481</t>
  </si>
  <si>
    <t>174903</t>
  </si>
  <si>
    <t>GARRISON ISD</t>
  </si>
  <si>
    <t>6,912</t>
  </si>
  <si>
    <t>13,823</t>
  </si>
  <si>
    <t>25,039</t>
  </si>
  <si>
    <t>183904</t>
  </si>
  <si>
    <t>GARY ISD</t>
  </si>
  <si>
    <t>6,595</t>
  </si>
  <si>
    <t>13,191</t>
  </si>
  <si>
    <t>23,985</t>
  </si>
  <si>
    <t>050902</t>
  </si>
  <si>
    <t>GATESVILLE ISD</t>
  </si>
  <si>
    <t>4,237</t>
  </si>
  <si>
    <t>8,473</t>
  </si>
  <si>
    <t>16,122</t>
  </si>
  <si>
    <t>057831</t>
  </si>
  <si>
    <t>GATEWAY CHARTER ACADEMY</t>
  </si>
  <si>
    <t>7,030</t>
  </si>
  <si>
    <t>14,061</t>
  </si>
  <si>
    <t>25,434</t>
  </si>
  <si>
    <t>166902</t>
  </si>
  <si>
    <t>GAUSE ISD</t>
  </si>
  <si>
    <t>7,420</t>
  </si>
  <si>
    <t>14,841</t>
  </si>
  <si>
    <t>26,735</t>
  </si>
  <si>
    <t>015802</t>
  </si>
  <si>
    <t>GEORGE GERVIN ACADEMY</t>
  </si>
  <si>
    <t>7,232</t>
  </si>
  <si>
    <t>14,464</t>
  </si>
  <si>
    <t>26,107</t>
  </si>
  <si>
    <t>101804</t>
  </si>
  <si>
    <t>GEORGE I SANCHEZ CHARTER</t>
  </si>
  <si>
    <t>13,562</t>
  </si>
  <si>
    <t>24,603</t>
  </si>
  <si>
    <t>149901</t>
  </si>
  <si>
    <t>GEORGE WEST ISD</t>
  </si>
  <si>
    <t>25,413</t>
  </si>
  <si>
    <t>246904</t>
  </si>
  <si>
    <t>GEORGETOWN ISD</t>
  </si>
  <si>
    <t>3,730</t>
  </si>
  <si>
    <t>7,459</t>
  </si>
  <si>
    <t>14,432</t>
  </si>
  <si>
    <t>161925</t>
  </si>
  <si>
    <t>GHOLSON ISD</t>
  </si>
  <si>
    <t>6,879</t>
  </si>
  <si>
    <t>13,759</t>
  </si>
  <si>
    <t>24,931</t>
  </si>
  <si>
    <t>144901</t>
  </si>
  <si>
    <t>GIDDINGS ISD</t>
  </si>
  <si>
    <t>6,835</t>
  </si>
  <si>
    <t>13,670</t>
  </si>
  <si>
    <t>24,784</t>
  </si>
  <si>
    <t>230902</t>
  </si>
  <si>
    <t>GILMER ISD</t>
  </si>
  <si>
    <t>6,903</t>
  </si>
  <si>
    <t>13,805</t>
  </si>
  <si>
    <t>25,009</t>
  </si>
  <si>
    <t>092901</t>
  </si>
  <si>
    <t>GLADEWATER ISD</t>
  </si>
  <si>
    <t>5,275</t>
  </si>
  <si>
    <t>10,550</t>
  </si>
  <si>
    <t>19,584</t>
  </si>
  <si>
    <t>087901</t>
  </si>
  <si>
    <t>GLASSCOCK COUNTY ISD</t>
  </si>
  <si>
    <t>4,652</t>
  </si>
  <si>
    <t>9,304</t>
  </si>
  <si>
    <t>17,507</t>
  </si>
  <si>
    <t>213901</t>
  </si>
  <si>
    <t>GLEN ROSE ISD</t>
  </si>
  <si>
    <t>5,564</t>
  </si>
  <si>
    <t>11,129</t>
  </si>
  <si>
    <t>20,548</t>
  </si>
  <si>
    <t>126911</t>
  </si>
  <si>
    <t>GODLEY ISD</t>
  </si>
  <si>
    <t>5,731</t>
  </si>
  <si>
    <t>11,462</t>
  </si>
  <si>
    <t>21,103</t>
  </si>
  <si>
    <t>169906</t>
  </si>
  <si>
    <t>GOLD BURG ISD</t>
  </si>
  <si>
    <t>057835</t>
  </si>
  <si>
    <t>GOLDEN RULE CHARTER SCHOOL</t>
  </si>
  <si>
    <t>6,466</t>
  </si>
  <si>
    <t>23,554</t>
  </si>
  <si>
    <t>167901</t>
  </si>
  <si>
    <t>GOLDTHWAITE ISD</t>
  </si>
  <si>
    <t>6,239</t>
  </si>
  <si>
    <t>12,479</t>
  </si>
  <si>
    <t>22,798</t>
  </si>
  <si>
    <t>088902</t>
  </si>
  <si>
    <t>GOLIAD ISD</t>
  </si>
  <si>
    <t>5,842</t>
  </si>
  <si>
    <t>11,684</t>
  </si>
  <si>
    <t>21,474</t>
  </si>
  <si>
    <t>089901</t>
  </si>
  <si>
    <t>GONZALES ISD</t>
  </si>
  <si>
    <t>7,257</t>
  </si>
  <si>
    <t>14,513</t>
  </si>
  <si>
    <t>26,189</t>
  </si>
  <si>
    <t>187903</t>
  </si>
  <si>
    <t>GOODRICH ISD</t>
  </si>
  <si>
    <t>8,350</t>
  </si>
  <si>
    <t>16,700</t>
  </si>
  <si>
    <t>29,833</t>
  </si>
  <si>
    <t>246802</t>
  </si>
  <si>
    <t>GOODWATER MONTESSORI SCHOOL</t>
  </si>
  <si>
    <t>7,243</t>
  </si>
  <si>
    <t>14,071</t>
  </si>
  <si>
    <t>101911</t>
  </si>
  <si>
    <t>GOOSE CREEK CISD</t>
  </si>
  <si>
    <t>10,977</t>
  </si>
  <si>
    <t>20,295</t>
  </si>
  <si>
    <t>182901</t>
  </si>
  <si>
    <t>GORDON ISD</t>
  </si>
  <si>
    <t>5,946</t>
  </si>
  <si>
    <t>11,891</t>
  </si>
  <si>
    <t>21,819</t>
  </si>
  <si>
    <t>067904</t>
  </si>
  <si>
    <t>GORMAN ISD</t>
  </si>
  <si>
    <t>7,582</t>
  </si>
  <si>
    <t>15,163</t>
  </si>
  <si>
    <t>27,272</t>
  </si>
  <si>
    <t>156905</t>
  </si>
  <si>
    <t>GRADY ISD</t>
  </si>
  <si>
    <t>4,972</t>
  </si>
  <si>
    <t>9,944</t>
  </si>
  <si>
    <t>18,573</t>
  </si>
  <si>
    <t>182902</t>
  </si>
  <si>
    <t>GRAFORD ISD</t>
  </si>
  <si>
    <t>5,561</t>
  </si>
  <si>
    <t>11,122</t>
  </si>
  <si>
    <t>20,537</t>
  </si>
  <si>
    <t>252901</t>
  </si>
  <si>
    <t>GRAHAM ISD</t>
  </si>
  <si>
    <t>6,192</t>
  </si>
  <si>
    <t>12,384</t>
  </si>
  <si>
    <t>22,640</t>
  </si>
  <si>
    <t>111901</t>
  </si>
  <si>
    <t>GRANBURY ISD</t>
  </si>
  <si>
    <t>3,856</t>
  </si>
  <si>
    <t>7,712</t>
  </si>
  <si>
    <t>14,854</t>
  </si>
  <si>
    <t>057910</t>
  </si>
  <si>
    <t>GRAND PRAIRIE ISD</t>
  </si>
  <si>
    <t>5,560</t>
  </si>
  <si>
    <t>11,121</t>
  </si>
  <si>
    <t>20,535</t>
  </si>
  <si>
    <t>234904</t>
  </si>
  <si>
    <t>GRAND SALINE ISD</t>
  </si>
  <si>
    <t>6,531</t>
  </si>
  <si>
    <t>13,063</t>
  </si>
  <si>
    <t>23,771</t>
  </si>
  <si>
    <t>238904</t>
  </si>
  <si>
    <t>GRANDFALLS-ROYALTY ISD</t>
  </si>
  <si>
    <t>7,339</t>
  </si>
  <si>
    <t>14,678</t>
  </si>
  <si>
    <t>26,463</t>
  </si>
  <si>
    <t>126904</t>
  </si>
  <si>
    <t>GRANDVIEW ISD</t>
  </si>
  <si>
    <t>5,373</t>
  </si>
  <si>
    <t>10,747</t>
  </si>
  <si>
    <t>19,911</t>
  </si>
  <si>
    <t>090905</t>
  </si>
  <si>
    <t>GRANDVIEW-HOPKINS ISD</t>
  </si>
  <si>
    <t>5,051</t>
  </si>
  <si>
    <t>10,102</t>
  </si>
  <si>
    <t>18,837</t>
  </si>
  <si>
    <t>246905</t>
  </si>
  <si>
    <t>GRANGER ISD</t>
  </si>
  <si>
    <t>12,344</t>
  </si>
  <si>
    <t>226907</t>
  </si>
  <si>
    <t>GRAPE CREEK ISD</t>
  </si>
  <si>
    <t>6,687</t>
  </si>
  <si>
    <t>13,375</t>
  </si>
  <si>
    <t>24,291</t>
  </si>
  <si>
    <t>113902</t>
  </si>
  <si>
    <t>GRAPELAND ISD</t>
  </si>
  <si>
    <t>13,701</t>
  </si>
  <si>
    <t>24,834</t>
  </si>
  <si>
    <t>220906</t>
  </si>
  <si>
    <t>GRAPEVINE-COLLEYVILLE ISD</t>
  </si>
  <si>
    <t>3,608</t>
  </si>
  <si>
    <t>7,216</t>
  </si>
  <si>
    <t>14,026</t>
  </si>
  <si>
    <t>015835</t>
  </si>
  <si>
    <t>GREAT HEARTS TEXAS</t>
  </si>
  <si>
    <t>3,559</t>
  </si>
  <si>
    <t>7,118</t>
  </si>
  <si>
    <t>13,863</t>
  </si>
  <si>
    <t>116905</t>
  </si>
  <si>
    <t>GREENVILLE ISD</t>
  </si>
  <si>
    <t>5,974</t>
  </si>
  <si>
    <t>11,947</t>
  </si>
  <si>
    <t>21,912</t>
  </si>
  <si>
    <t>165902</t>
  </si>
  <si>
    <t>GREENWOOD ISD</t>
  </si>
  <si>
    <t>5,126</t>
  </si>
  <si>
    <t>10,252</t>
  </si>
  <si>
    <t>19,087</t>
  </si>
  <si>
    <t>205902</t>
  </si>
  <si>
    <t>GREGORY-PORTLAND ISD</t>
  </si>
  <si>
    <t>4,817</t>
  </si>
  <si>
    <t>9,633</t>
  </si>
  <si>
    <t>18,056</t>
  </si>
  <si>
    <t>147902</t>
  </si>
  <si>
    <t>GROESBECK ISD</t>
  </si>
  <si>
    <t>6,693</t>
  </si>
  <si>
    <t>13,385</t>
  </si>
  <si>
    <t>24,309</t>
  </si>
  <si>
    <t>033901</t>
  </si>
  <si>
    <t>GROOM ISD</t>
  </si>
  <si>
    <t>5,244</t>
  </si>
  <si>
    <t>10,488</t>
  </si>
  <si>
    <t>19,480</t>
  </si>
  <si>
    <t>228901</t>
  </si>
  <si>
    <t>GROVETON ISD</t>
  </si>
  <si>
    <t>6,784</t>
  </si>
  <si>
    <t>13,568</t>
  </si>
  <si>
    <t>24,613</t>
  </si>
  <si>
    <t>098901</t>
  </si>
  <si>
    <t>GRUVER ISD</t>
  </si>
  <si>
    <t>5,619</t>
  </si>
  <si>
    <t>11,238</t>
  </si>
  <si>
    <t>20,731</t>
  </si>
  <si>
    <t>091917</t>
  </si>
  <si>
    <t>GUNTER ISD</t>
  </si>
  <si>
    <t>5,158</t>
  </si>
  <si>
    <t>10,317</t>
  </si>
  <si>
    <t>19,195</t>
  </si>
  <si>
    <t>047903</t>
  </si>
  <si>
    <t>GUSTINE ISD</t>
  </si>
  <si>
    <t>7,085</t>
  </si>
  <si>
    <t>14,169</t>
  </si>
  <si>
    <t>25,615</t>
  </si>
  <si>
    <t>135001</t>
  </si>
  <si>
    <t>GUTHRIE CSD</t>
  </si>
  <si>
    <t>095903</t>
  </si>
  <si>
    <t>HALE CENTER ISD</t>
  </si>
  <si>
    <t>7,470</t>
  </si>
  <si>
    <t>14,941</t>
  </si>
  <si>
    <t>26,901</t>
  </si>
  <si>
    <t>143901</t>
  </si>
  <si>
    <t>HALLETTSVILLE ISD</t>
  </si>
  <si>
    <t>5,737</t>
  </si>
  <si>
    <t>11,475</t>
  </si>
  <si>
    <t>21,124</t>
  </si>
  <si>
    <t>161924</t>
  </si>
  <si>
    <t>HALLSBURG ISD</t>
  </si>
  <si>
    <t>6,404</t>
  </si>
  <si>
    <t>12,808</t>
  </si>
  <si>
    <t>23,346</t>
  </si>
  <si>
    <t>102904</t>
  </si>
  <si>
    <t>HALLSVILLE ISD</t>
  </si>
  <si>
    <t>4,478</t>
  </si>
  <si>
    <t>8,957</t>
  </si>
  <si>
    <t>16,928</t>
  </si>
  <si>
    <t>097902</t>
  </si>
  <si>
    <t>HAMILTON ISD</t>
  </si>
  <si>
    <t>6,840</t>
  </si>
  <si>
    <t>13,680</t>
  </si>
  <si>
    <t>24,800</t>
  </si>
  <si>
    <t>127903</t>
  </si>
  <si>
    <t>HAMLIN COLLEGIATE ISD</t>
  </si>
  <si>
    <t>7,258</t>
  </si>
  <si>
    <t>14,516</t>
  </si>
  <si>
    <t>26,193</t>
  </si>
  <si>
    <t>123914</t>
  </si>
  <si>
    <t>HAMSHIRE-FANNETT ISD</t>
  </si>
  <si>
    <t>5,284</t>
  </si>
  <si>
    <t>10,568</t>
  </si>
  <si>
    <t>19,614</t>
  </si>
  <si>
    <t>219901</t>
  </si>
  <si>
    <t>HAPPY ISD</t>
  </si>
  <si>
    <t>5,333</t>
  </si>
  <si>
    <t>10,665</t>
  </si>
  <si>
    <t>19,776</t>
  </si>
  <si>
    <t>146904</t>
  </si>
  <si>
    <t>HARDIN ISD</t>
  </si>
  <si>
    <t>6,522</t>
  </si>
  <si>
    <t>13,044</t>
  </si>
  <si>
    <t>23,739</t>
  </si>
  <si>
    <t>100905</t>
  </si>
  <si>
    <t>HARDIN-JEFFERSON ISD</t>
  </si>
  <si>
    <t>5,462</t>
  </si>
  <si>
    <t>10,923</t>
  </si>
  <si>
    <t>20,206</t>
  </si>
  <si>
    <t>015904</t>
  </si>
  <si>
    <t>HARLANDALE ISD</t>
  </si>
  <si>
    <t>13,189</t>
  </si>
  <si>
    <t>23,982</t>
  </si>
  <si>
    <t>102905</t>
  </si>
  <si>
    <t>HARLETON ISD</t>
  </si>
  <si>
    <t>6,364</t>
  </si>
  <si>
    <t>12,729</t>
  </si>
  <si>
    <t>23,214</t>
  </si>
  <si>
    <t>031903</t>
  </si>
  <si>
    <t>HARLINGEN CISD</t>
  </si>
  <si>
    <t>5,862</t>
  </si>
  <si>
    <t>11,725</t>
  </si>
  <si>
    <t>21,542</t>
  </si>
  <si>
    <t>230905</t>
  </si>
  <si>
    <t>HARMONY ISD</t>
  </si>
  <si>
    <t>6,190</t>
  </si>
  <si>
    <t>12,380</t>
  </si>
  <si>
    <t>22,633</t>
  </si>
  <si>
    <t>227816</t>
  </si>
  <si>
    <t>HARMONY PUBLIC SCHOOLS - CENTRAL TEXAS</t>
  </si>
  <si>
    <t>4,696</t>
  </si>
  <si>
    <t>9,391</t>
  </si>
  <si>
    <t>17,652</t>
  </si>
  <si>
    <t>101858</t>
  </si>
  <si>
    <t>HARMONY PUBLIC SCHOOLS - HOUSTON NORTH</t>
  </si>
  <si>
    <t>4,987</t>
  </si>
  <si>
    <t>9,974</t>
  </si>
  <si>
    <t>18,624</t>
  </si>
  <si>
    <t>101846</t>
  </si>
  <si>
    <t>HARMONY PUBLIC SCHOOLS - HOUSTON SOUTH</t>
  </si>
  <si>
    <t>6,162</t>
  </si>
  <si>
    <t>12,323</t>
  </si>
  <si>
    <t>22,539</t>
  </si>
  <si>
    <t>101862</t>
  </si>
  <si>
    <t>HARMONY PUBLIC SCHOOLS - HOUSTON WEST</t>
  </si>
  <si>
    <t>4,370</t>
  </si>
  <si>
    <t>8,740</t>
  </si>
  <si>
    <t>16,567</t>
  </si>
  <si>
    <t>161807</t>
  </si>
  <si>
    <t>HARMONY PUBLIC SCHOOLS - NORTH TEXAS</t>
  </si>
  <si>
    <t>4,992</t>
  </si>
  <si>
    <t>9,984</t>
  </si>
  <si>
    <t>18,640</t>
  </si>
  <si>
    <t>015828</t>
  </si>
  <si>
    <t>HARMONY PUBLIC SCHOOLS - SOUTH TEXAS</t>
  </si>
  <si>
    <t>5,876</t>
  </si>
  <si>
    <t>11,751</t>
  </si>
  <si>
    <t>21,586</t>
  </si>
  <si>
    <t>071806</t>
  </si>
  <si>
    <t>HARMONY PUBLIC SCHOOLS - WEST TEXAS</t>
  </si>
  <si>
    <t>5,186</t>
  </si>
  <si>
    <t>10,372</t>
  </si>
  <si>
    <t>19,287</t>
  </si>
  <si>
    <t>086902</t>
  </si>
  <si>
    <t>HARPER ISD</t>
  </si>
  <si>
    <t>5,705</t>
  </si>
  <si>
    <t>11,409</t>
  </si>
  <si>
    <t>21,016</t>
  </si>
  <si>
    <t>244901</t>
  </si>
  <si>
    <t>HARROLD ISD</t>
  </si>
  <si>
    <t>6,497</t>
  </si>
  <si>
    <t>12,994</t>
  </si>
  <si>
    <t>23,656</t>
  </si>
  <si>
    <t>035902</t>
  </si>
  <si>
    <t>HART ISD</t>
  </si>
  <si>
    <t>8,273</t>
  </si>
  <si>
    <t>16,545</t>
  </si>
  <si>
    <t>29,575</t>
  </si>
  <si>
    <t>103902</t>
  </si>
  <si>
    <t>HARTLEY ISD</t>
  </si>
  <si>
    <t>6,483</t>
  </si>
  <si>
    <t>12,966</t>
  </si>
  <si>
    <t>23,609</t>
  </si>
  <si>
    <t>225907</t>
  </si>
  <si>
    <t>HARTS BLUFF ISD</t>
  </si>
  <si>
    <t>7,078</t>
  </si>
  <si>
    <t>14,156</t>
  </si>
  <si>
    <t>25,593</t>
  </si>
  <si>
    <t>104901</t>
  </si>
  <si>
    <t>HASKELL CISD</t>
  </si>
  <si>
    <t>7,002</t>
  </si>
  <si>
    <t>14,004</t>
  </si>
  <si>
    <t>25,340</t>
  </si>
  <si>
    <t>250902</t>
  </si>
  <si>
    <t>HAWKINS ISD</t>
  </si>
  <si>
    <t>6,870</t>
  </si>
  <si>
    <t>13,740</t>
  </si>
  <si>
    <t>24,900</t>
  </si>
  <si>
    <t>127904</t>
  </si>
  <si>
    <t>HAWLEY ISD</t>
  </si>
  <si>
    <t>5,866</t>
  </si>
  <si>
    <t>11,732</t>
  </si>
  <si>
    <t>21,554</t>
  </si>
  <si>
    <t>105906</t>
  </si>
  <si>
    <t>HAYS CISD</t>
  </si>
  <si>
    <t>3,809</t>
  </si>
  <si>
    <t>7,619</t>
  </si>
  <si>
    <t>14,698</t>
  </si>
  <si>
    <t>198905</t>
  </si>
  <si>
    <t>HEARNE ISD</t>
  </si>
  <si>
    <t>8,570</t>
  </si>
  <si>
    <t>17,140</t>
  </si>
  <si>
    <t>30,567</t>
  </si>
  <si>
    <t>065902</t>
  </si>
  <si>
    <t>HEDLEY ISD</t>
  </si>
  <si>
    <t>7,129</t>
  </si>
  <si>
    <t>14,258</t>
  </si>
  <si>
    <t>25,763</t>
  </si>
  <si>
    <t>202903</t>
  </si>
  <si>
    <t>HEMPHILL ISD</t>
  </si>
  <si>
    <t>237902</t>
  </si>
  <si>
    <t>HEMPSTEAD ISD</t>
  </si>
  <si>
    <t>7,842</t>
  </si>
  <si>
    <t>15,683</t>
  </si>
  <si>
    <t>28,139</t>
  </si>
  <si>
    <t>201902</t>
  </si>
  <si>
    <t>HENDERSON ISD</t>
  </si>
  <si>
    <t>5,422</t>
  </si>
  <si>
    <t>10,844</t>
  </si>
  <si>
    <t>20,073</t>
  </si>
  <si>
    <t>039902</t>
  </si>
  <si>
    <t>HENRIETTA ISD</t>
  </si>
  <si>
    <t>5,935</t>
  </si>
  <si>
    <t>11,870</t>
  </si>
  <si>
    <t>21,783</t>
  </si>
  <si>
    <t>015833</t>
  </si>
  <si>
    <t>HENRY FORD ACADEMY ALAMEDA SCHOOL FOR ART + DESIGN</t>
  </si>
  <si>
    <t>4,561</t>
  </si>
  <si>
    <t>9,123</t>
  </si>
  <si>
    <t>17,205</t>
  </si>
  <si>
    <t>059901</t>
  </si>
  <si>
    <t>HEREFORD ISD</t>
  </si>
  <si>
    <t>6,062</t>
  </si>
  <si>
    <t>12,125</t>
  </si>
  <si>
    <t>22,208</t>
  </si>
  <si>
    <t>015815</t>
  </si>
  <si>
    <t>HERITAGE ACADEMY</t>
  </si>
  <si>
    <t>5,701</t>
  </si>
  <si>
    <t>11,402</t>
  </si>
  <si>
    <t>21,003</t>
  </si>
  <si>
    <t>208901</t>
  </si>
  <si>
    <t>HERMLEIGH ISD</t>
  </si>
  <si>
    <t>5,888</t>
  </si>
  <si>
    <t>11,776</t>
  </si>
  <si>
    <t>21,627</t>
  </si>
  <si>
    <t>097903</t>
  </si>
  <si>
    <t>HICO ISD</t>
  </si>
  <si>
    <t>5,846</t>
  </si>
  <si>
    <t>11,691</t>
  </si>
  <si>
    <t>21,485</t>
  </si>
  <si>
    <t>108905</t>
  </si>
  <si>
    <t>HIDALGO ISD</t>
  </si>
  <si>
    <t>6,647</t>
  </si>
  <si>
    <t>13,293</t>
  </si>
  <si>
    <t>24,155</t>
  </si>
  <si>
    <t>084903</t>
  </si>
  <si>
    <t>HIGH ISLAND ISD</t>
  </si>
  <si>
    <t>5,827</t>
  </si>
  <si>
    <t>11,654</t>
  </si>
  <si>
    <t>21,423</t>
  </si>
  <si>
    <t>220819</t>
  </si>
  <si>
    <t>HIGH POINT ACADEMY</t>
  </si>
  <si>
    <t>177905</t>
  </si>
  <si>
    <t>HIGHLAND ISD</t>
  </si>
  <si>
    <t>5,116</t>
  </si>
  <si>
    <t>10,233</t>
  </si>
  <si>
    <t>19,054</t>
  </si>
  <si>
    <t>057911</t>
  </si>
  <si>
    <t>HIGHLAND PARK ISD</t>
  </si>
  <si>
    <t>3,011</t>
  </si>
  <si>
    <t>12,038</t>
  </si>
  <si>
    <t>188903</t>
  </si>
  <si>
    <t>6,661</t>
  </si>
  <si>
    <t>13,323</t>
  </si>
  <si>
    <t>24,205</t>
  </si>
  <si>
    <t>109904</t>
  </si>
  <si>
    <t>HILLSBORO ISD</t>
  </si>
  <si>
    <t>7,388</t>
  </si>
  <si>
    <t>14,775</t>
  </si>
  <si>
    <t>26,626</t>
  </si>
  <si>
    <t>084908</t>
  </si>
  <si>
    <t>HITCHCOCK ISD</t>
  </si>
  <si>
    <t>6,832</t>
  </si>
  <si>
    <t>13,663</t>
  </si>
  <si>
    <t>24,772</t>
  </si>
  <si>
    <t>014905</t>
  </si>
  <si>
    <t>HOLLAND ISD</t>
  </si>
  <si>
    <t>005902</t>
  </si>
  <si>
    <t>HOLLIDAY ISD</t>
  </si>
  <si>
    <t>5,002</t>
  </si>
  <si>
    <t>10,004</t>
  </si>
  <si>
    <t>18,673</t>
  </si>
  <si>
    <t>163904</t>
  </si>
  <si>
    <t>HONDO ISD</t>
  </si>
  <si>
    <t>7,196</t>
  </si>
  <si>
    <t>14,392</t>
  </si>
  <si>
    <t>25,987</t>
  </si>
  <si>
    <t>074907</t>
  </si>
  <si>
    <t>HONEY GROVE ISD</t>
  </si>
  <si>
    <t>6,281</t>
  </si>
  <si>
    <t>12,563</t>
  </si>
  <si>
    <t>22,938</t>
  </si>
  <si>
    <t>019902</t>
  </si>
  <si>
    <t>HOOKS ISD</t>
  </si>
  <si>
    <t>6,667</t>
  </si>
  <si>
    <t>13,333</t>
  </si>
  <si>
    <t>24,222</t>
  </si>
  <si>
    <t>108802</t>
  </si>
  <si>
    <t>HORIZON MONTESSORI PUBLIC SCHOOLS</t>
  </si>
  <si>
    <t>11,221</t>
  </si>
  <si>
    <t>101878</t>
  </si>
  <si>
    <t>HOUSTON CLASSICAL CHARTER SCHOOL</t>
  </si>
  <si>
    <t>5,396</t>
  </si>
  <si>
    <t>10,791</t>
  </si>
  <si>
    <t>19,985</t>
  </si>
  <si>
    <t>101828</t>
  </si>
  <si>
    <t>HOUSTON GATEWAY ACADEMY INC</t>
  </si>
  <si>
    <t>13,533</t>
  </si>
  <si>
    <t>24,556</t>
  </si>
  <si>
    <t>101821</t>
  </si>
  <si>
    <t>HOUSTON HEIGHTS HIGH SCHOOL</t>
  </si>
  <si>
    <t>6,208</t>
  </si>
  <si>
    <t>12,416</t>
  </si>
  <si>
    <t>22,694</t>
  </si>
  <si>
    <t>101912</t>
  </si>
  <si>
    <t>HOUSTON ISD</t>
  </si>
  <si>
    <t>6,420</t>
  </si>
  <si>
    <t>12,841</t>
  </si>
  <si>
    <t>23,401</t>
  </si>
  <si>
    <t>091905</t>
  </si>
  <si>
    <t>HOWE ISD</t>
  </si>
  <si>
    <t>5,890</t>
  </si>
  <si>
    <t>11,781</t>
  </si>
  <si>
    <t>21,635</t>
  </si>
  <si>
    <t>019913</t>
  </si>
  <si>
    <t>HUBBARD ISD</t>
  </si>
  <si>
    <t>13,071</t>
  </si>
  <si>
    <t>23,786</t>
  </si>
  <si>
    <t>109905</t>
  </si>
  <si>
    <t>26,017</t>
  </si>
  <si>
    <t>072908</t>
  </si>
  <si>
    <t>HUCKABAY ISD</t>
  </si>
  <si>
    <t>4,751</t>
  </si>
  <si>
    <t>9,502</t>
  </si>
  <si>
    <t>17,836</t>
  </si>
  <si>
    <t>003902</t>
  </si>
  <si>
    <t>HUDSON ISD</t>
  </si>
  <si>
    <t>6,554</t>
  </si>
  <si>
    <t>13,107</t>
  </si>
  <si>
    <t>23,846</t>
  </si>
  <si>
    <t>101925</t>
  </si>
  <si>
    <t>HUFFMAN ISD</t>
  </si>
  <si>
    <t>5,777</t>
  </si>
  <si>
    <t>11,553</t>
  </si>
  <si>
    <t>21,256</t>
  </si>
  <si>
    <t>034903</t>
  </si>
  <si>
    <t>HUGHES SPRINGS ISD</t>
  </si>
  <si>
    <t>12,860</t>
  </si>
  <si>
    <t>23,433</t>
  </si>
  <si>
    <t>146905</t>
  </si>
  <si>
    <t>HULL-DAISETTA ISD</t>
  </si>
  <si>
    <t>7,347</t>
  </si>
  <si>
    <t>14,694</t>
  </si>
  <si>
    <t>26,489</t>
  </si>
  <si>
    <t>101913</t>
  </si>
  <si>
    <t>HUMBLE ISD</t>
  </si>
  <si>
    <t>4,061</t>
  </si>
  <si>
    <t>8,121</t>
  </si>
  <si>
    <t>15,535</t>
  </si>
  <si>
    <t>133902</t>
  </si>
  <si>
    <t>HUNT ISD</t>
  </si>
  <si>
    <t>5,350</t>
  </si>
  <si>
    <t>10,701</t>
  </si>
  <si>
    <t>19,834</t>
  </si>
  <si>
    <t>003904</t>
  </si>
  <si>
    <t>HUNTINGTON ISD</t>
  </si>
  <si>
    <t>23,074</t>
  </si>
  <si>
    <t>236902</t>
  </si>
  <si>
    <t>HUNTSVILLE ISD</t>
  </si>
  <si>
    <t>5,177</t>
  </si>
  <si>
    <t>10,354</t>
  </si>
  <si>
    <t>19,256</t>
  </si>
  <si>
    <t>220916</t>
  </si>
  <si>
    <t>HURST-EULESS-BEDFORD ISD</t>
  </si>
  <si>
    <t>4,723</t>
  </si>
  <si>
    <t>9,447</t>
  </si>
  <si>
    <t>17,745</t>
  </si>
  <si>
    <t>246906</t>
  </si>
  <si>
    <t>HUTTO ISD</t>
  </si>
  <si>
    <t>3,454</t>
  </si>
  <si>
    <t>6,907</t>
  </si>
  <si>
    <t>13,512</t>
  </si>
  <si>
    <t>152910</t>
  </si>
  <si>
    <t>IDALOU ISD</t>
  </si>
  <si>
    <t>5,486</t>
  </si>
  <si>
    <t>10,973</t>
  </si>
  <si>
    <t>20,288</t>
  </si>
  <si>
    <t>108807</t>
  </si>
  <si>
    <t>IDEA PUBLIC SCHOOLS</t>
  </si>
  <si>
    <t>5,969</t>
  </si>
  <si>
    <t>11,937</t>
  </si>
  <si>
    <t>21,895</t>
  </si>
  <si>
    <t>043801</t>
  </si>
  <si>
    <t>IMAGINE INTERNATIONAL ACADEMY OF NORTH TEXAS</t>
  </si>
  <si>
    <t>3,027</t>
  </si>
  <si>
    <t>12,090</t>
  </si>
  <si>
    <t>120905</t>
  </si>
  <si>
    <t>INDUSTRIAL ISD</t>
  </si>
  <si>
    <t>5,315</t>
  </si>
  <si>
    <t>10,631</t>
  </si>
  <si>
    <t>19,718</t>
  </si>
  <si>
    <t>205903</t>
  </si>
  <si>
    <t>INGLESIDE ISD</t>
  </si>
  <si>
    <t>5,254</t>
  </si>
  <si>
    <t>10,508</t>
  </si>
  <si>
    <t>19,513</t>
  </si>
  <si>
    <t>133904</t>
  </si>
  <si>
    <t>INGRAM ISD</t>
  </si>
  <si>
    <t>6,324</t>
  </si>
  <si>
    <t>12,647</t>
  </si>
  <si>
    <t>23,079</t>
  </si>
  <si>
    <t>015808</t>
  </si>
  <si>
    <t>INSPIRE ACADEMIES</t>
  </si>
  <si>
    <t>4,780</t>
  </si>
  <si>
    <t>9,561</t>
  </si>
  <si>
    <t>17,935</t>
  </si>
  <si>
    <t>057830</t>
  </si>
  <si>
    <t>INSPIRED VISION ACADEMY</t>
  </si>
  <si>
    <t>7,174</t>
  </si>
  <si>
    <t>14,348</t>
  </si>
  <si>
    <t>25,914</t>
  </si>
  <si>
    <t>057848</t>
  </si>
  <si>
    <t>INTERNATIONAL LEADERSHIP OF TEXAS (ILTEXAS)</t>
  </si>
  <si>
    <t>5,212</t>
  </si>
  <si>
    <t>10,424</t>
  </si>
  <si>
    <t>19,374</t>
  </si>
  <si>
    <t>093903</t>
  </si>
  <si>
    <t>IOLA ISD</t>
  </si>
  <si>
    <t>5,442</t>
  </si>
  <si>
    <t>10,885</t>
  </si>
  <si>
    <t>20,141</t>
  </si>
  <si>
    <t>243903</t>
  </si>
  <si>
    <t>IOWA PARK CISD</t>
  </si>
  <si>
    <t>3,506</t>
  </si>
  <si>
    <t>7,013</t>
  </si>
  <si>
    <t>208903</t>
  </si>
  <si>
    <t>IRA ISD</t>
  </si>
  <si>
    <t>4,971</t>
  </si>
  <si>
    <t>9,942</t>
  </si>
  <si>
    <t>18,569</t>
  </si>
  <si>
    <t>186903</t>
  </si>
  <si>
    <t>IRAAN-SHEFFIELD ISD</t>
  </si>
  <si>
    <t>6,005</t>
  </si>
  <si>
    <t>12,009</t>
  </si>
  <si>
    <t>22,016</t>
  </si>
  <si>
    <t>018906</t>
  </si>
  <si>
    <t>IREDELL ISD</t>
  </si>
  <si>
    <t>6,696</t>
  </si>
  <si>
    <t>13,393</t>
  </si>
  <si>
    <t>24,321</t>
  </si>
  <si>
    <t>118902</t>
  </si>
  <si>
    <t>IRION COUNTY ISD</t>
  </si>
  <si>
    <t>5,455</t>
  </si>
  <si>
    <t>10,910</t>
  </si>
  <si>
    <t>20,183</t>
  </si>
  <si>
    <t>057912</t>
  </si>
  <si>
    <t>IRVING ISD</t>
  </si>
  <si>
    <t>6,278</t>
  </si>
  <si>
    <t>12,557</t>
  </si>
  <si>
    <t>22,928</t>
  </si>
  <si>
    <t>070907</t>
  </si>
  <si>
    <t>ITALY ISD</t>
  </si>
  <si>
    <t>6,645</t>
  </si>
  <si>
    <t>13,289</t>
  </si>
  <si>
    <t>24,149</t>
  </si>
  <si>
    <t>109907</t>
  </si>
  <si>
    <t>ITASCA ISD</t>
  </si>
  <si>
    <t>6,401</t>
  </si>
  <si>
    <t>12,801</t>
  </si>
  <si>
    <t>23,335</t>
  </si>
  <si>
    <t>119902</t>
  </si>
  <si>
    <t>JACKSBORO ISD</t>
  </si>
  <si>
    <t>7,072</t>
  </si>
  <si>
    <t>14,144</t>
  </si>
  <si>
    <t>25,574</t>
  </si>
  <si>
    <t>037904</t>
  </si>
  <si>
    <t>JACKSONVILLE ISD</t>
  </si>
  <si>
    <t>6,906</t>
  </si>
  <si>
    <t>13,813</t>
  </si>
  <si>
    <t>25,021</t>
  </si>
  <si>
    <t>246907</t>
  </si>
  <si>
    <t>JARRELL ISD</t>
  </si>
  <si>
    <t>6,376</t>
  </si>
  <si>
    <t>12,752</t>
  </si>
  <si>
    <t>23,254</t>
  </si>
  <si>
    <t>121904</t>
  </si>
  <si>
    <t>JASPER ISD</t>
  </si>
  <si>
    <t>6,187</t>
  </si>
  <si>
    <t>12,374</t>
  </si>
  <si>
    <t>22,623</t>
  </si>
  <si>
    <t>132902</t>
  </si>
  <si>
    <t>JAYTON-GIRARD ISD</t>
  </si>
  <si>
    <t>5,589</t>
  </si>
  <si>
    <t>11,179</t>
  </si>
  <si>
    <t>20,631</t>
  </si>
  <si>
    <t>057819</t>
  </si>
  <si>
    <t>JEAN MASSIEU ACADEMY</t>
  </si>
  <si>
    <t>6,159</t>
  </si>
  <si>
    <t>12,318</t>
  </si>
  <si>
    <t>22,530</t>
  </si>
  <si>
    <t>155901</t>
  </si>
  <si>
    <t>JEFFERSON ISD</t>
  </si>
  <si>
    <t>7,284</t>
  </si>
  <si>
    <t>14,569</t>
  </si>
  <si>
    <t>26,281</t>
  </si>
  <si>
    <t>124901</t>
  </si>
  <si>
    <t>JIM HOGG COUNTY ISD</t>
  </si>
  <si>
    <t>8,216</t>
  </si>
  <si>
    <t>16,433</t>
  </si>
  <si>
    <t>29,388</t>
  </si>
  <si>
    <t>221911</t>
  </si>
  <si>
    <t>JIM NED CISD</t>
  </si>
  <si>
    <t>4,902</t>
  </si>
  <si>
    <t>9,803</t>
  </si>
  <si>
    <t>18,339</t>
  </si>
  <si>
    <t>210902</t>
  </si>
  <si>
    <t>JOAQUIN ISD</t>
  </si>
  <si>
    <t>7,145</t>
  </si>
  <si>
    <t>14,290</t>
  </si>
  <si>
    <t>25,816</t>
  </si>
  <si>
    <t>016901</t>
  </si>
  <si>
    <t>JOHNSON CITY ISD</t>
  </si>
  <si>
    <t>5,529</t>
  </si>
  <si>
    <t>11,058</t>
  </si>
  <si>
    <t>20,430</t>
  </si>
  <si>
    <t>050909</t>
  </si>
  <si>
    <t>JONESBORO ISD</t>
  </si>
  <si>
    <t>11,818</t>
  </si>
  <si>
    <t>21,696</t>
  </si>
  <si>
    <t>126905</t>
  </si>
  <si>
    <t>JOSHUA ISD</t>
  </si>
  <si>
    <t>3,876</t>
  </si>
  <si>
    <t>7,751</t>
  </si>
  <si>
    <t>14,919</t>
  </si>
  <si>
    <t>007902</t>
  </si>
  <si>
    <t>JOURDANTON ISD</t>
  </si>
  <si>
    <t>12,739</t>
  </si>
  <si>
    <t>23,232</t>
  </si>
  <si>
    <t>015822</t>
  </si>
  <si>
    <t>JUBILEE ACADEMIES</t>
  </si>
  <si>
    <t>6,472</t>
  </si>
  <si>
    <t>12,944</t>
  </si>
  <si>
    <t>23,573</t>
  </si>
  <si>
    <t>015916</t>
  </si>
  <si>
    <t>JUDSON ISD</t>
  </si>
  <si>
    <t>4,800</t>
  </si>
  <si>
    <t>17,999</t>
  </si>
  <si>
    <t>134901</t>
  </si>
  <si>
    <t>JUNCTION ISD</t>
  </si>
  <si>
    <t>6,846</t>
  </si>
  <si>
    <t>13,691</t>
  </si>
  <si>
    <t>24,818</t>
  </si>
  <si>
    <t>102901</t>
  </si>
  <si>
    <t>KARNACK ISD</t>
  </si>
  <si>
    <t>24,857</t>
  </si>
  <si>
    <t>128901</t>
  </si>
  <si>
    <t>KARNES CITY ISD</t>
  </si>
  <si>
    <t>7,103</t>
  </si>
  <si>
    <t>14,206</t>
  </si>
  <si>
    <t>25,677</t>
  </si>
  <si>
    <t>105801</t>
  </si>
  <si>
    <t>KATHERINE ANNE PORTER SCHOOL</t>
  </si>
  <si>
    <t>3,924</t>
  </si>
  <si>
    <t>7,847</t>
  </si>
  <si>
    <t>15,079</t>
  </si>
  <si>
    <t>101914</t>
  </si>
  <si>
    <t>KATY ISD</t>
  </si>
  <si>
    <t>3,674</t>
  </si>
  <si>
    <t>7,349</t>
  </si>
  <si>
    <t>14,248</t>
  </si>
  <si>
    <t>129903</t>
  </si>
  <si>
    <t>KAUFMAN ISD</t>
  </si>
  <si>
    <t>5,057</t>
  </si>
  <si>
    <t>10,114</t>
  </si>
  <si>
    <t>18,857</t>
  </si>
  <si>
    <t>126906</t>
  </si>
  <si>
    <t>KEENE ISD</t>
  </si>
  <si>
    <t>7,516</t>
  </si>
  <si>
    <t>15,032</t>
  </si>
  <si>
    <t>27,054</t>
  </si>
  <si>
    <t>220907</t>
  </si>
  <si>
    <t>KELLER ISD</t>
  </si>
  <si>
    <t>3,535</t>
  </si>
  <si>
    <t>7,070</t>
  </si>
  <si>
    <t>13,783</t>
  </si>
  <si>
    <t>242905</t>
  </si>
  <si>
    <t>KELTON ISD</t>
  </si>
  <si>
    <t>6,274</t>
  </si>
  <si>
    <t>12,548</t>
  </si>
  <si>
    <t>22,913</t>
  </si>
  <si>
    <t>129904</t>
  </si>
  <si>
    <t>KEMP ISD</t>
  </si>
  <si>
    <t>7,308</t>
  </si>
  <si>
    <t>14,615</t>
  </si>
  <si>
    <t>26,359</t>
  </si>
  <si>
    <t>131001</t>
  </si>
  <si>
    <t>KENEDY COUNTY WIDE CSD</t>
  </si>
  <si>
    <t>6,110</t>
  </si>
  <si>
    <t>12,220</t>
  </si>
  <si>
    <t>22,367</t>
  </si>
  <si>
    <t>128902</t>
  </si>
  <si>
    <t>KENEDY ISD</t>
  </si>
  <si>
    <t>7,795</t>
  </si>
  <si>
    <t>15,590</t>
  </si>
  <si>
    <t>27,983</t>
  </si>
  <si>
    <t>113906</t>
  </si>
  <si>
    <t>KENNARD ISD</t>
  </si>
  <si>
    <t>6,558</t>
  </si>
  <si>
    <t>13,115</t>
  </si>
  <si>
    <t>23,859</t>
  </si>
  <si>
    <t>220914</t>
  </si>
  <si>
    <t>KENNEDALE ISD</t>
  </si>
  <si>
    <t>4,081</t>
  </si>
  <si>
    <t>8,161</t>
  </si>
  <si>
    <t>15,602</t>
  </si>
  <si>
    <t>175907</t>
  </si>
  <si>
    <t>KERENS ISD</t>
  </si>
  <si>
    <t>7,312</t>
  </si>
  <si>
    <t>14,623</t>
  </si>
  <si>
    <t>26,372</t>
  </si>
  <si>
    <t>248901</t>
  </si>
  <si>
    <t>KERMIT ISD</t>
  </si>
  <si>
    <t>4,704</t>
  </si>
  <si>
    <t>9,409</t>
  </si>
  <si>
    <t>17,681</t>
  </si>
  <si>
    <t>133903</t>
  </si>
  <si>
    <t>KERRVILLE ISD</t>
  </si>
  <si>
    <t>6,519</t>
  </si>
  <si>
    <t>13,037</t>
  </si>
  <si>
    <t>23,729</t>
  </si>
  <si>
    <t>105803</t>
  </si>
  <si>
    <t>KI CHARTER ACADEMY</t>
  </si>
  <si>
    <t>7,450</t>
  </si>
  <si>
    <t>14,900</t>
  </si>
  <si>
    <t>26,833</t>
  </si>
  <si>
    <t>092902</t>
  </si>
  <si>
    <t>KILGORE ISD</t>
  </si>
  <si>
    <t>5,904</t>
  </si>
  <si>
    <t>11,809</t>
  </si>
  <si>
    <t>21,681</t>
  </si>
  <si>
    <t>014906</t>
  </si>
  <si>
    <t>KILLEEN ISD</t>
  </si>
  <si>
    <t>4,867</t>
  </si>
  <si>
    <t>9,734</t>
  </si>
  <si>
    <t>18,224</t>
  </si>
  <si>
    <t>137901</t>
  </si>
  <si>
    <t>KINGSVILLE ISD</t>
  </si>
  <si>
    <t>6,224</t>
  </si>
  <si>
    <t>12,447</t>
  </si>
  <si>
    <t>22,746</t>
  </si>
  <si>
    <t>227820</t>
  </si>
  <si>
    <t>KIPP TEXAS PUBLIC SCHOOLS</t>
  </si>
  <si>
    <t>6,726</t>
  </si>
  <si>
    <t>13,451</t>
  </si>
  <si>
    <t>24,418</t>
  </si>
  <si>
    <t>121905</t>
  </si>
  <si>
    <t>KIRBYVILLE CISD</t>
  </si>
  <si>
    <t>6,673</t>
  </si>
  <si>
    <t>13,346</t>
  </si>
  <si>
    <t>24,244</t>
  </si>
  <si>
    <t>101915</t>
  </si>
  <si>
    <t>KLEIN ISD</t>
  </si>
  <si>
    <t>4,190</t>
  </si>
  <si>
    <t>8,380</t>
  </si>
  <si>
    <t>15,966</t>
  </si>
  <si>
    <t>058905</t>
  </si>
  <si>
    <t>KLONDIKE ISD</t>
  </si>
  <si>
    <t>5,195</t>
  </si>
  <si>
    <t>10,390</t>
  </si>
  <si>
    <t>19,317</t>
  </si>
  <si>
    <t>232901</t>
  </si>
  <si>
    <t>KNIPPA ISD</t>
  </si>
  <si>
    <t>6,089</t>
  </si>
  <si>
    <t>12,177</t>
  </si>
  <si>
    <t>22,296</t>
  </si>
  <si>
    <t>138902</t>
  </si>
  <si>
    <t>KNOX CITY-O'BRIEN CISD</t>
  </si>
  <si>
    <t>7,484</t>
  </si>
  <si>
    <t>14,969</t>
  </si>
  <si>
    <t>26,948</t>
  </si>
  <si>
    <t>018907</t>
  </si>
  <si>
    <t>KOPPERL ISD</t>
  </si>
  <si>
    <t>6,810</t>
  </si>
  <si>
    <t>13,620</t>
  </si>
  <si>
    <t>24,701</t>
  </si>
  <si>
    <t>100903</t>
  </si>
  <si>
    <t>KOUNTZE ISD</t>
  </si>
  <si>
    <t>6,825</t>
  </si>
  <si>
    <t>13,650</t>
  </si>
  <si>
    <t>24,750</t>
  </si>
  <si>
    <t>219905</t>
  </si>
  <si>
    <t>KRESS ISD</t>
  </si>
  <si>
    <t>6,688</t>
  </si>
  <si>
    <t>13,376</t>
  </si>
  <si>
    <t>24,294</t>
  </si>
  <si>
    <t>061905</t>
  </si>
  <si>
    <t>KRUM ISD</t>
  </si>
  <si>
    <t>5,118</t>
  </si>
  <si>
    <t>10,236</t>
  </si>
  <si>
    <t>19,060</t>
  </si>
  <si>
    <t>057839</t>
  </si>
  <si>
    <t>LA ACADEMIA DE ESTRELLAS</t>
  </si>
  <si>
    <t>6,541</t>
  </si>
  <si>
    <t>13,081</t>
  </si>
  <si>
    <t>23,802</t>
  </si>
  <si>
    <t>071807</t>
  </si>
  <si>
    <t>LA FE PREPARATORY SCHOOL</t>
  </si>
  <si>
    <t>8,262</t>
  </si>
  <si>
    <t>16,523</t>
  </si>
  <si>
    <t>29,538</t>
  </si>
  <si>
    <t>031905</t>
  </si>
  <si>
    <t>LA FERIA ISD</t>
  </si>
  <si>
    <t>7,874</t>
  </si>
  <si>
    <t>15,747</t>
  </si>
  <si>
    <t>28,245</t>
  </si>
  <si>
    <t>125906</t>
  </si>
  <si>
    <t>LA GLORIA ISD</t>
  </si>
  <si>
    <t>6,815</t>
  </si>
  <si>
    <t>13,629</t>
  </si>
  <si>
    <t>24,716</t>
  </si>
  <si>
    <t>075902</t>
  </si>
  <si>
    <t>LA GRANGE ISD</t>
  </si>
  <si>
    <t>5,097</t>
  </si>
  <si>
    <t>10,194</t>
  </si>
  <si>
    <t>18,990</t>
  </si>
  <si>
    <t>108912</t>
  </si>
  <si>
    <t>LA JOYA ISD</t>
  </si>
  <si>
    <t>13,117</t>
  </si>
  <si>
    <t>23,862</t>
  </si>
  <si>
    <t>101916</t>
  </si>
  <si>
    <t>LA PORTE ISD</t>
  </si>
  <si>
    <t>4,031</t>
  </si>
  <si>
    <t>8,063</t>
  </si>
  <si>
    <t>15,438</t>
  </si>
  <si>
    <t>254902</t>
  </si>
  <si>
    <t>LA PRYOR ISD</t>
  </si>
  <si>
    <t>8,337</t>
  </si>
  <si>
    <t>29,789</t>
  </si>
  <si>
    <t>161906</t>
  </si>
  <si>
    <t>LA VEGA ISD</t>
  </si>
  <si>
    <t>6,639</t>
  </si>
  <si>
    <t>13,279</t>
  </si>
  <si>
    <t>24,131</t>
  </si>
  <si>
    <t>247903</t>
  </si>
  <si>
    <t>LA VERNIA ISD</t>
  </si>
  <si>
    <t>4,968</t>
  </si>
  <si>
    <t>9,937</t>
  </si>
  <si>
    <t>18,561</t>
  </si>
  <si>
    <t>108914</t>
  </si>
  <si>
    <t>LA VILLA ISD</t>
  </si>
  <si>
    <t>8,727</t>
  </si>
  <si>
    <t>17,454</t>
  </si>
  <si>
    <t>31,090</t>
  </si>
  <si>
    <t>015913</t>
  </si>
  <si>
    <t>LACKLAND ISD</t>
  </si>
  <si>
    <t>4,957</t>
  </si>
  <si>
    <t>9,915</t>
  </si>
  <si>
    <t>18,525</t>
  </si>
  <si>
    <t>227912</t>
  </si>
  <si>
    <t>LAGO VISTA ISD</t>
  </si>
  <si>
    <t>4,948</t>
  </si>
  <si>
    <t>9,897</t>
  </si>
  <si>
    <t>18,494</t>
  </si>
  <si>
    <t>061912</t>
  </si>
  <si>
    <t>LAKE DALLAS ISD</t>
  </si>
  <si>
    <t>3,922</t>
  </si>
  <si>
    <t>7,843</t>
  </si>
  <si>
    <t>15,072</t>
  </si>
  <si>
    <t>111801</t>
  </si>
  <si>
    <t>LAKE GRANBURY ACADEMY CHARTER SCHOOL</t>
  </si>
  <si>
    <t>7,012</t>
  </si>
  <si>
    <t>14,023</t>
  </si>
  <si>
    <t>25,372</t>
  </si>
  <si>
    <t>227913</t>
  </si>
  <si>
    <t>LAKE TRAVIS ISD</t>
  </si>
  <si>
    <t>3,136</t>
  </si>
  <si>
    <t>6,272</t>
  </si>
  <si>
    <t>12,453</t>
  </si>
  <si>
    <t>220910</t>
  </si>
  <si>
    <t>LAKE WORTH ISD</t>
  </si>
  <si>
    <t>7,102</t>
  </si>
  <si>
    <t>14,204</t>
  </si>
  <si>
    <t>25,674</t>
  </si>
  <si>
    <t>079901</t>
  </si>
  <si>
    <t>LAMAR CISD</t>
  </si>
  <si>
    <t>3,891</t>
  </si>
  <si>
    <t>7,782</t>
  </si>
  <si>
    <t>14,970</t>
  </si>
  <si>
    <t>058906</t>
  </si>
  <si>
    <t>LAMESA ISD</t>
  </si>
  <si>
    <t>7,547</t>
  </si>
  <si>
    <t>15,094</t>
  </si>
  <si>
    <t>27,157</t>
  </si>
  <si>
    <t>141901</t>
  </si>
  <si>
    <t>LAMPASAS ISD</t>
  </si>
  <si>
    <t>11,807</t>
  </si>
  <si>
    <t>21,679</t>
  </si>
  <si>
    <t>057913</t>
  </si>
  <si>
    <t>LANCASTER ISD</t>
  </si>
  <si>
    <t>5,382</t>
  </si>
  <si>
    <t>10,764</t>
  </si>
  <si>
    <t>19,940</t>
  </si>
  <si>
    <t>201903</t>
  </si>
  <si>
    <t>LANEVILLE ISD</t>
  </si>
  <si>
    <t>7,047</t>
  </si>
  <si>
    <t>14,094</t>
  </si>
  <si>
    <t>25,489</t>
  </si>
  <si>
    <t>107910</t>
  </si>
  <si>
    <t>LAPOYNOR ISD</t>
  </si>
  <si>
    <t>5,380</t>
  </si>
  <si>
    <t>10,759</t>
  </si>
  <si>
    <t>19,932</t>
  </si>
  <si>
    <t>240901</t>
  </si>
  <si>
    <t>LAREDO ISD</t>
  </si>
  <si>
    <t>16,038</t>
  </si>
  <si>
    <t>28,730</t>
  </si>
  <si>
    <t>245901</t>
  </si>
  <si>
    <t>LASARA ISD</t>
  </si>
  <si>
    <t>8,420</t>
  </si>
  <si>
    <t>16,841</t>
  </si>
  <si>
    <t>30,068</t>
  </si>
  <si>
    <t>113905</t>
  </si>
  <si>
    <t>LATEXO ISD</t>
  </si>
  <si>
    <t>6,351</t>
  </si>
  <si>
    <t>12,701</t>
  </si>
  <si>
    <t>23,169</t>
  </si>
  <si>
    <t>185904</t>
  </si>
  <si>
    <t>LAZBUDDIE ISD</t>
  </si>
  <si>
    <t>24,835</t>
  </si>
  <si>
    <t>061804</t>
  </si>
  <si>
    <t>LEADERSHIP PREP SCHOOL</t>
  </si>
  <si>
    <t>3,022</t>
  </si>
  <si>
    <t>12,072</t>
  </si>
  <si>
    <t>193902</t>
  </si>
  <si>
    <t>LEAKEY ISD</t>
  </si>
  <si>
    <t>6,743</t>
  </si>
  <si>
    <t>13,487</t>
  </si>
  <si>
    <t>24,478</t>
  </si>
  <si>
    <t>246913</t>
  </si>
  <si>
    <t>LEANDER ISD</t>
  </si>
  <si>
    <t>3,256</t>
  </si>
  <si>
    <t>6,513</t>
  </si>
  <si>
    <t>12,855</t>
  </si>
  <si>
    <t>LEARN4LIFE-AUSTIN</t>
  </si>
  <si>
    <t>227830</t>
  </si>
  <si>
    <t>019914</t>
  </si>
  <si>
    <t>LEARY ISD</t>
  </si>
  <si>
    <t>8,056</t>
  </si>
  <si>
    <t>16,112</t>
  </si>
  <si>
    <t>28,853</t>
  </si>
  <si>
    <t>090902</t>
  </si>
  <si>
    <t>LEFORS ISD</t>
  </si>
  <si>
    <t>6,795</t>
  </si>
  <si>
    <t>13,590</t>
  </si>
  <si>
    <t>24,651</t>
  </si>
  <si>
    <t>057846</t>
  </si>
  <si>
    <t>LEGACY PREPARATORY</t>
  </si>
  <si>
    <t>6,211</t>
  </si>
  <si>
    <t>12,421</t>
  </si>
  <si>
    <t>22,702</t>
  </si>
  <si>
    <t>101874</t>
  </si>
  <si>
    <t>LEGACY SCHOOL OF SPORT SCIENCES</t>
  </si>
  <si>
    <t>4,676</t>
  </si>
  <si>
    <t>9,353</t>
  </si>
  <si>
    <t>17,588</t>
  </si>
  <si>
    <t>015806</t>
  </si>
  <si>
    <t>LEGACY TRADITIONAL SCHOOLS - TEXAS</t>
  </si>
  <si>
    <t>187906</t>
  </si>
  <si>
    <t>LEGGETT ISD</t>
  </si>
  <si>
    <t>7,300</t>
  </si>
  <si>
    <t>14,600</t>
  </si>
  <si>
    <t>26,333</t>
  </si>
  <si>
    <t>145911</t>
  </si>
  <si>
    <t>LEON ISD</t>
  </si>
  <si>
    <t>12,869</t>
  </si>
  <si>
    <t>23,449</t>
  </si>
  <si>
    <t>074909</t>
  </si>
  <si>
    <t>LEONARD ISD</t>
  </si>
  <si>
    <t>6,355</t>
  </si>
  <si>
    <t>12,710</t>
  </si>
  <si>
    <t>23,183</t>
  </si>
  <si>
    <t>110902</t>
  </si>
  <si>
    <t>LEVELLAND ISD</t>
  </si>
  <si>
    <t>7,355</t>
  </si>
  <si>
    <t>14,710</t>
  </si>
  <si>
    <t>26,516</t>
  </si>
  <si>
    <t>201904</t>
  </si>
  <si>
    <t>LEVERETTS CHAPEL ISD</t>
  </si>
  <si>
    <t>7,463</t>
  </si>
  <si>
    <t>14,926</t>
  </si>
  <si>
    <t>26,876</t>
  </si>
  <si>
    <t>061902</t>
  </si>
  <si>
    <t>LEWISVILLE ISD</t>
  </si>
  <si>
    <t>3,997</t>
  </si>
  <si>
    <t>7,995</t>
  </si>
  <si>
    <t>15,325</t>
  </si>
  <si>
    <t>144902</t>
  </si>
  <si>
    <t>LEXINGTON ISD</t>
  </si>
  <si>
    <t>5,622</t>
  </si>
  <si>
    <t>11,245</t>
  </si>
  <si>
    <t>20,741</t>
  </si>
  <si>
    <t>246908</t>
  </si>
  <si>
    <t>LIBERTY HILL ISD</t>
  </si>
  <si>
    <t>3,155</t>
  </si>
  <si>
    <t>6,310</t>
  </si>
  <si>
    <t>12,517</t>
  </si>
  <si>
    <t>146906</t>
  </si>
  <si>
    <t>LIBERTY ISD</t>
  </si>
  <si>
    <t>6,742</t>
  </si>
  <si>
    <t>13,484</t>
  </si>
  <si>
    <t>24,473</t>
  </si>
  <si>
    <t>019908</t>
  </si>
  <si>
    <t>LIBERTY-EYLAU ISD</t>
  </si>
  <si>
    <t>8,162</t>
  </si>
  <si>
    <t>16,325</t>
  </si>
  <si>
    <t>29,208</t>
  </si>
  <si>
    <t>057807</t>
  </si>
  <si>
    <t>LIFE SCHOOL</t>
  </si>
  <si>
    <t>5,142</t>
  </si>
  <si>
    <t>10,284</t>
  </si>
  <si>
    <t>19,141</t>
  </si>
  <si>
    <t>015825</t>
  </si>
  <si>
    <t>LIGHTHOUSE PUBLIC SCHOOLS</t>
  </si>
  <si>
    <t>6,492</t>
  </si>
  <si>
    <t>12,985</t>
  </si>
  <si>
    <t>23,641</t>
  </si>
  <si>
    <t>212903</t>
  </si>
  <si>
    <t>LINDALE ISD</t>
  </si>
  <si>
    <t>4,012</t>
  </si>
  <si>
    <t>8,023</t>
  </si>
  <si>
    <t>15,372</t>
  </si>
  <si>
    <t>034905</t>
  </si>
  <si>
    <t>LINDEN-KILDARE CISD</t>
  </si>
  <si>
    <t>7,100</t>
  </si>
  <si>
    <t>14,199</t>
  </si>
  <si>
    <t>25,665</t>
  </si>
  <si>
    <t>049907</t>
  </si>
  <si>
    <t>LINDSAY ISD</t>
  </si>
  <si>
    <t>4,658</t>
  </si>
  <si>
    <t>9,315</t>
  </si>
  <si>
    <t>17,525</t>
  </si>
  <si>
    <t>072909</t>
  </si>
  <si>
    <t>LINGLEVILLE ISD</t>
  </si>
  <si>
    <t>5,574</t>
  </si>
  <si>
    <t>11,148</t>
  </si>
  <si>
    <t>20,580</t>
  </si>
  <si>
    <t>111902</t>
  </si>
  <si>
    <t>LIPAN ISD</t>
  </si>
  <si>
    <t>5,760</t>
  </si>
  <si>
    <t>11,520</t>
  </si>
  <si>
    <t>21,200</t>
  </si>
  <si>
    <t>181908</t>
  </si>
  <si>
    <t>LITTLE CYPRESS-MAURICEVILLE CISD</t>
  </si>
  <si>
    <t>4,640</t>
  </si>
  <si>
    <t>9,280</t>
  </si>
  <si>
    <t>17,466</t>
  </si>
  <si>
    <t>061914</t>
  </si>
  <si>
    <t>LITTLE ELM ISD</t>
  </si>
  <si>
    <t>140904</t>
  </si>
  <si>
    <t>LITTLEFIELD ISD</t>
  </si>
  <si>
    <t>7,824</t>
  </si>
  <si>
    <t>15,649</t>
  </si>
  <si>
    <t>28,081</t>
  </si>
  <si>
    <t>187907</t>
  </si>
  <si>
    <t>LIVINGSTON ISD</t>
  </si>
  <si>
    <t>6,947</t>
  </si>
  <si>
    <t>13,894</t>
  </si>
  <si>
    <t>25,157</t>
  </si>
  <si>
    <t>150901</t>
  </si>
  <si>
    <t>LLANO ISD</t>
  </si>
  <si>
    <t>6,897</t>
  </si>
  <si>
    <t>13,793</t>
  </si>
  <si>
    <t>24,989</t>
  </si>
  <si>
    <t>028902</t>
  </si>
  <si>
    <t>LOCKHART ISD</t>
  </si>
  <si>
    <t>17,995</t>
  </si>
  <si>
    <t>077902</t>
  </si>
  <si>
    <t>LOCKNEY ISD</t>
  </si>
  <si>
    <t>7,068</t>
  </si>
  <si>
    <t>14,136</t>
  </si>
  <si>
    <t>25,560</t>
  </si>
  <si>
    <t>160905</t>
  </si>
  <si>
    <t>LOHN ISD</t>
  </si>
  <si>
    <t>6,861</t>
  </si>
  <si>
    <t>24,869</t>
  </si>
  <si>
    <t>141902</t>
  </si>
  <si>
    <t>LOMETA ISD</t>
  </si>
  <si>
    <t>7,485</t>
  </si>
  <si>
    <t>14,971</t>
  </si>
  <si>
    <t>26,951</t>
  </si>
  <si>
    <t>178906</t>
  </si>
  <si>
    <t>LONDON ISD</t>
  </si>
  <si>
    <t>9,849</t>
  </si>
  <si>
    <t>18,415</t>
  </si>
  <si>
    <t>116906</t>
  </si>
  <si>
    <t>LONE OAK ISD</t>
  </si>
  <si>
    <t>5,975</t>
  </si>
  <si>
    <t>11,950</t>
  </si>
  <si>
    <t>21,916</t>
  </si>
  <si>
    <t>043802</t>
  </si>
  <si>
    <t>LONE STAR LANGUAGE ACADEMY</t>
  </si>
  <si>
    <t>3,019</t>
  </si>
  <si>
    <t>6,039</t>
  </si>
  <si>
    <t>12,065</t>
  </si>
  <si>
    <t>092903</t>
  </si>
  <si>
    <t>LONGVIEW ISD</t>
  </si>
  <si>
    <t>6,306</t>
  </si>
  <si>
    <t>23,021</t>
  </si>
  <si>
    <t>083902</t>
  </si>
  <si>
    <t>LOOP ISD</t>
  </si>
  <si>
    <t>5,688</t>
  </si>
  <si>
    <t>11,376</t>
  </si>
  <si>
    <t>20,960</t>
  </si>
  <si>
    <t>168902</t>
  </si>
  <si>
    <t>LORAINE ISD</t>
  </si>
  <si>
    <t>14,515</t>
  </si>
  <si>
    <t>26,191</t>
  </si>
  <si>
    <t>161907</t>
  </si>
  <si>
    <t>LORENA ISD</t>
  </si>
  <si>
    <t>5,034</t>
  </si>
  <si>
    <t>10,068</t>
  </si>
  <si>
    <t>18,780</t>
  </si>
  <si>
    <t>054902</t>
  </si>
  <si>
    <t>LORENZO ISD</t>
  </si>
  <si>
    <t>8,107</t>
  </si>
  <si>
    <t>16,215</t>
  </si>
  <si>
    <t>29,024</t>
  </si>
  <si>
    <t>031906</t>
  </si>
  <si>
    <t>LOS FRESNOS CISD</t>
  </si>
  <si>
    <t>4,911</t>
  </si>
  <si>
    <t>9,822</t>
  </si>
  <si>
    <t>18,370</t>
  </si>
  <si>
    <t>241906</t>
  </si>
  <si>
    <t>LOUISE ISD</t>
  </si>
  <si>
    <t>6,562</t>
  </si>
  <si>
    <t>13,124</t>
  </si>
  <si>
    <t>23,874</t>
  </si>
  <si>
    <t>043919</t>
  </si>
  <si>
    <t>LOVEJOY ISD</t>
  </si>
  <si>
    <t>4,564</t>
  </si>
  <si>
    <t>9,128</t>
  </si>
  <si>
    <t>17,213</t>
  </si>
  <si>
    <t>113903</t>
  </si>
  <si>
    <t>LOVELADY ISD</t>
  </si>
  <si>
    <t>5,693</t>
  </si>
  <si>
    <t>11,387</t>
  </si>
  <si>
    <t>20,978</t>
  </si>
  <si>
    <t>152901</t>
  </si>
  <si>
    <t>LUBBOCK ISD</t>
  </si>
  <si>
    <t>5,828</t>
  </si>
  <si>
    <t>11,657</t>
  </si>
  <si>
    <t>21,428</t>
  </si>
  <si>
    <t>152906</t>
  </si>
  <si>
    <t>LUBBOCK-COOPER ISD</t>
  </si>
  <si>
    <t>3,433</t>
  </si>
  <si>
    <t>6,867</t>
  </si>
  <si>
    <t>13,445</t>
  </si>
  <si>
    <t>127905</t>
  </si>
  <si>
    <t>LUEDERS-AVOCA ISD</t>
  </si>
  <si>
    <t>5,753</t>
  </si>
  <si>
    <t>11,506</t>
  </si>
  <si>
    <t>21,176</t>
  </si>
  <si>
    <t>003903</t>
  </si>
  <si>
    <t>LUFKIN ISD</t>
  </si>
  <si>
    <t>6,261</t>
  </si>
  <si>
    <t>12,523</t>
  </si>
  <si>
    <t>22,871</t>
  </si>
  <si>
    <t>028903</t>
  </si>
  <si>
    <t>LULING ISD</t>
  </si>
  <si>
    <t>7,539</t>
  </si>
  <si>
    <t>15,077</t>
  </si>
  <si>
    <t>27,129</t>
  </si>
  <si>
    <t>100907</t>
  </si>
  <si>
    <t>LUMBERTON ISD</t>
  </si>
  <si>
    <t>3,556</t>
  </si>
  <si>
    <t>7,111</t>
  </si>
  <si>
    <t>13,852</t>
  </si>
  <si>
    <t>057805</t>
  </si>
  <si>
    <t>LUMIN EDUCATION</t>
  </si>
  <si>
    <t>245902</t>
  </si>
  <si>
    <t>LYFORD CISD</t>
  </si>
  <si>
    <t>15,326</t>
  </si>
  <si>
    <t>27,544</t>
  </si>
  <si>
    <t>007904</t>
  </si>
  <si>
    <t>LYTLE ISD</t>
  </si>
  <si>
    <t>6,615</t>
  </si>
  <si>
    <t>13,230</t>
  </si>
  <si>
    <t>24,051</t>
  </si>
  <si>
    <t>129905</t>
  </si>
  <si>
    <t>MABANK ISD</t>
  </si>
  <si>
    <t>5,030</t>
  </si>
  <si>
    <t>10,061</t>
  </si>
  <si>
    <t>18,768</t>
  </si>
  <si>
    <t>154901</t>
  </si>
  <si>
    <t>MADISONVILLE CISD</t>
  </si>
  <si>
    <t>14,237</t>
  </si>
  <si>
    <t>25,728</t>
  </si>
  <si>
    <t>170906</t>
  </si>
  <si>
    <t>MAGNOLIA ISD</t>
  </si>
  <si>
    <t>3,627</t>
  </si>
  <si>
    <t>7,253</t>
  </si>
  <si>
    <t>107906</t>
  </si>
  <si>
    <t>MALAKOFF ISD</t>
  </si>
  <si>
    <t>6,636</t>
  </si>
  <si>
    <t>13,271</t>
  </si>
  <si>
    <t>24,119</t>
  </si>
  <si>
    <t>109908</t>
  </si>
  <si>
    <t>MALONE ISD</t>
  </si>
  <si>
    <t>8,643</t>
  </si>
  <si>
    <t>17,286</t>
  </si>
  <si>
    <t>30,810</t>
  </si>
  <si>
    <t>019910</t>
  </si>
  <si>
    <t>MALTA ISD</t>
  </si>
  <si>
    <t>6,077</t>
  </si>
  <si>
    <t>12,155</t>
  </si>
  <si>
    <t>22,258</t>
  </si>
  <si>
    <t>057844</t>
  </si>
  <si>
    <t>MANARA ACADEMY</t>
  </si>
  <si>
    <t>4,612</t>
  </si>
  <si>
    <t>9,224</t>
  </si>
  <si>
    <t>17,373</t>
  </si>
  <si>
    <t>227907</t>
  </si>
  <si>
    <t>MANOR ISD</t>
  </si>
  <si>
    <t>4,471</t>
  </si>
  <si>
    <t>8,942</t>
  </si>
  <si>
    <t>16,903</t>
  </si>
  <si>
    <t>220908</t>
  </si>
  <si>
    <t>MANSFIELD ISD</t>
  </si>
  <si>
    <t>3,794</t>
  </si>
  <si>
    <t>7,587</t>
  </si>
  <si>
    <t>14,645</t>
  </si>
  <si>
    <t>022902</t>
  </si>
  <si>
    <t>MARATHON ISD</t>
  </si>
  <si>
    <t>7,737</t>
  </si>
  <si>
    <t>15,474</t>
  </si>
  <si>
    <t>27,789</t>
  </si>
  <si>
    <t>027904</t>
  </si>
  <si>
    <t>MARBLE FALLS ISD</t>
  </si>
  <si>
    <t>5,372</t>
  </si>
  <si>
    <t>10,744</t>
  </si>
  <si>
    <t>19,906</t>
  </si>
  <si>
    <t>189901</t>
  </si>
  <si>
    <t>MARFA ISD</t>
  </si>
  <si>
    <t>7,168</t>
  </si>
  <si>
    <t>14,335</t>
  </si>
  <si>
    <t>25,892</t>
  </si>
  <si>
    <t>094904</t>
  </si>
  <si>
    <t>MARION ISD</t>
  </si>
  <si>
    <t>6,909</t>
  </si>
  <si>
    <t>13,515</t>
  </si>
  <si>
    <t>073903</t>
  </si>
  <si>
    <t>MARLIN ISD</t>
  </si>
  <si>
    <t>8,342</t>
  </si>
  <si>
    <t>16,683</t>
  </si>
  <si>
    <t>29,805</t>
  </si>
  <si>
    <t>102902</t>
  </si>
  <si>
    <t>MARSHALL ISD</t>
  </si>
  <si>
    <t>161908</t>
  </si>
  <si>
    <t>MART ISD</t>
  </si>
  <si>
    <t>25,480</t>
  </si>
  <si>
    <t>234905</t>
  </si>
  <si>
    <t>MARTINS MILL ISD</t>
  </si>
  <si>
    <t>5,492</t>
  </si>
  <si>
    <t>10,983</t>
  </si>
  <si>
    <t>20,306</t>
  </si>
  <si>
    <t>174909</t>
  </si>
  <si>
    <t>MARTINSVILLE ISD</t>
  </si>
  <si>
    <t>23,176</t>
  </si>
  <si>
    <t>157901</t>
  </si>
  <si>
    <t>MASON ISD</t>
  </si>
  <si>
    <t>6,138</t>
  </si>
  <si>
    <t>12,275</t>
  </si>
  <si>
    <t>22,459</t>
  </si>
  <si>
    <t>158904</t>
  </si>
  <si>
    <t>MATAGORDA ISD</t>
  </si>
  <si>
    <t>6,099</t>
  </si>
  <si>
    <t>12,198</t>
  </si>
  <si>
    <t>22,330</t>
  </si>
  <si>
    <t>205904</t>
  </si>
  <si>
    <t>MATHIS ISD</t>
  </si>
  <si>
    <t>7,786</t>
  </si>
  <si>
    <t>15,572</t>
  </si>
  <si>
    <t>27,954</t>
  </si>
  <si>
    <t>019903</t>
  </si>
  <si>
    <t>MAUD ISD</t>
  </si>
  <si>
    <t>6,627</t>
  </si>
  <si>
    <t>13,255</t>
  </si>
  <si>
    <t>24,091</t>
  </si>
  <si>
    <t>025905</t>
  </si>
  <si>
    <t>MAY ISD</t>
  </si>
  <si>
    <t>6,548</t>
  </si>
  <si>
    <t>23,826</t>
  </si>
  <si>
    <t>070915</t>
  </si>
  <si>
    <t>MAYPEARL ISD</t>
  </si>
  <si>
    <t>5,184</t>
  </si>
  <si>
    <t>10,369</t>
  </si>
  <si>
    <t>19,281</t>
  </si>
  <si>
    <t>108906</t>
  </si>
  <si>
    <t>MCALLEN ISD</t>
  </si>
  <si>
    <t>5,443</t>
  </si>
  <si>
    <t>10,887</t>
  </si>
  <si>
    <t>20,145</t>
  </si>
  <si>
    <t>231901</t>
  </si>
  <si>
    <t>MCCAMEY ISD</t>
  </si>
  <si>
    <t>13,567</t>
  </si>
  <si>
    <t>24,612</t>
  </si>
  <si>
    <t>011905</t>
  </si>
  <si>
    <t>MCDADE ISD</t>
  </si>
  <si>
    <t>12,153</t>
  </si>
  <si>
    <t>22,255</t>
  </si>
  <si>
    <t>161909</t>
  </si>
  <si>
    <t>MCGREGOR ISD</t>
  </si>
  <si>
    <t>6,572</t>
  </si>
  <si>
    <t>13,143</t>
  </si>
  <si>
    <t>23,905</t>
  </si>
  <si>
    <t>043907</t>
  </si>
  <si>
    <t>MCKINNEY ISD</t>
  </si>
  <si>
    <t>3,879</t>
  </si>
  <si>
    <t>7,758</t>
  </si>
  <si>
    <t>14,931</t>
  </si>
  <si>
    <t>090903</t>
  </si>
  <si>
    <t>MCLEAN ISD</t>
  </si>
  <si>
    <t>7,533</t>
  </si>
  <si>
    <t>15,067</t>
  </si>
  <si>
    <t>27,111</t>
  </si>
  <si>
    <t>034906</t>
  </si>
  <si>
    <t>MCLEOD ISD</t>
  </si>
  <si>
    <t>6,357</t>
  </si>
  <si>
    <t>12,714</t>
  </si>
  <si>
    <t>23,190</t>
  </si>
  <si>
    <t>162904</t>
  </si>
  <si>
    <t>MCMULLEN COUNTY ISD</t>
  </si>
  <si>
    <t>5,515</t>
  </si>
  <si>
    <t>11,029</t>
  </si>
  <si>
    <t>20,382</t>
  </si>
  <si>
    <t>223902</t>
  </si>
  <si>
    <t>MEADOW ISD</t>
  </si>
  <si>
    <t>7,172</t>
  </si>
  <si>
    <t>14,345</t>
  </si>
  <si>
    <t>25,908</t>
  </si>
  <si>
    <t>130801</t>
  </si>
  <si>
    <t>MEADOWLAND CHARTER DISTRICT</t>
  </si>
  <si>
    <t>8,700</t>
  </si>
  <si>
    <t>17,400</t>
  </si>
  <si>
    <t>31,000</t>
  </si>
  <si>
    <t>010901</t>
  </si>
  <si>
    <t>MEDINA ISD</t>
  </si>
  <si>
    <t>6,607</t>
  </si>
  <si>
    <t>13,215</t>
  </si>
  <si>
    <t>24,025</t>
  </si>
  <si>
    <t>163908</t>
  </si>
  <si>
    <t>MEDINA VALLEY ISD</t>
  </si>
  <si>
    <t>3,805</t>
  </si>
  <si>
    <t>7,610</t>
  </si>
  <si>
    <t>14,683</t>
  </si>
  <si>
    <t>043908</t>
  </si>
  <si>
    <t>MELISSA ISD</t>
  </si>
  <si>
    <t>3,167</t>
  </si>
  <si>
    <t>12,556</t>
  </si>
  <si>
    <t>096904</t>
  </si>
  <si>
    <t>MEMPHIS ISD</t>
  </si>
  <si>
    <t>7,959</t>
  </si>
  <si>
    <t>15,919</t>
  </si>
  <si>
    <t>28,532</t>
  </si>
  <si>
    <t>164901</t>
  </si>
  <si>
    <t>MENARD ISD</t>
  </si>
  <si>
    <t>6,626</t>
  </si>
  <si>
    <t>13,252</t>
  </si>
  <si>
    <t>24,087</t>
  </si>
  <si>
    <t>108907</t>
  </si>
  <si>
    <t>MERCEDES ISD</t>
  </si>
  <si>
    <t>7,918</t>
  </si>
  <si>
    <t>15,837</t>
  </si>
  <si>
    <t>28,394</t>
  </si>
  <si>
    <t>018902</t>
  </si>
  <si>
    <t>MERIDIAN ISD</t>
  </si>
  <si>
    <t>7,572</t>
  </si>
  <si>
    <t>15,144</t>
  </si>
  <si>
    <t>27,239</t>
  </si>
  <si>
    <t>246801</t>
  </si>
  <si>
    <t>MERIDIAN WORLD SCHOOL LLC</t>
  </si>
  <si>
    <t>3,101</t>
  </si>
  <si>
    <t>6,203</t>
  </si>
  <si>
    <t>12,338</t>
  </si>
  <si>
    <t>221904</t>
  </si>
  <si>
    <t>MERKEL ISD</t>
  </si>
  <si>
    <t>6,183</t>
  </si>
  <si>
    <t>12,366</t>
  </si>
  <si>
    <t>22,610</t>
  </si>
  <si>
    <t>057914</t>
  </si>
  <si>
    <t>MESQUITE ISD</t>
  </si>
  <si>
    <t>5,656</t>
  </si>
  <si>
    <t>11,313</t>
  </si>
  <si>
    <t>20,854</t>
  </si>
  <si>
    <t>147903</t>
  </si>
  <si>
    <t>MEXIA ISD</t>
  </si>
  <si>
    <t>7,672</t>
  </si>
  <si>
    <t>15,345</t>
  </si>
  <si>
    <t>27,575</t>
  </si>
  <si>
    <t>101855</t>
  </si>
  <si>
    <t>MEYERPARK ELEMENTARY</t>
  </si>
  <si>
    <t>6,226</t>
  </si>
  <si>
    <t>12,451</t>
  </si>
  <si>
    <t>22,752</t>
  </si>
  <si>
    <t>062906</t>
  </si>
  <si>
    <t>MEYERSVILLE ISD</t>
  </si>
  <si>
    <t>5,250</t>
  </si>
  <si>
    <t>10,500</t>
  </si>
  <si>
    <t>19,500</t>
  </si>
  <si>
    <t>197902</t>
  </si>
  <si>
    <t>MIAMI ISD</t>
  </si>
  <si>
    <t>5,324</t>
  </si>
  <si>
    <t>10,647</t>
  </si>
  <si>
    <t>19,746</t>
  </si>
  <si>
    <t>165802</t>
  </si>
  <si>
    <t>MIDLAND ACADEMY CHARTER SCHOOL</t>
  </si>
  <si>
    <t>3,882</t>
  </si>
  <si>
    <t>7,764</t>
  </si>
  <si>
    <t>14,939</t>
  </si>
  <si>
    <t>165901</t>
  </si>
  <si>
    <t>MIDLAND ISD</t>
  </si>
  <si>
    <t>4,411</t>
  </si>
  <si>
    <t>8,822</t>
  </si>
  <si>
    <t>16,704</t>
  </si>
  <si>
    <t>070908</t>
  </si>
  <si>
    <t>MIDLOTHIAN ISD</t>
  </si>
  <si>
    <t>3,473</t>
  </si>
  <si>
    <t>6,946</t>
  </si>
  <si>
    <t>13,577</t>
  </si>
  <si>
    <t>039905</t>
  </si>
  <si>
    <t>MIDWAY ISD</t>
  </si>
  <si>
    <t>12,636</t>
  </si>
  <si>
    <t>161903</t>
  </si>
  <si>
    <t>3,662</t>
  </si>
  <si>
    <t>7,324</t>
  </si>
  <si>
    <t>14,207</t>
  </si>
  <si>
    <t>166903</t>
  </si>
  <si>
    <t>MILANO ISD</t>
  </si>
  <si>
    <t>6,486</t>
  </si>
  <si>
    <t>12,973</t>
  </si>
  <si>
    <t>23,622</t>
  </si>
  <si>
    <t>175910</t>
  </si>
  <si>
    <t>MILDRED ISD</t>
  </si>
  <si>
    <t>5,447</t>
  </si>
  <si>
    <t>10,893</t>
  </si>
  <si>
    <t>20,156</t>
  </si>
  <si>
    <t>200902</t>
  </si>
  <si>
    <t>MILES ISD</t>
  </si>
  <si>
    <t>11,417</t>
  </si>
  <si>
    <t>21,029</t>
  </si>
  <si>
    <t>070909</t>
  </si>
  <si>
    <t>MILFORD ISD</t>
  </si>
  <si>
    <t>6,691</t>
  </si>
  <si>
    <t>13,383</t>
  </si>
  <si>
    <t>24,305</t>
  </si>
  <si>
    <t>112907</t>
  </si>
  <si>
    <t>MILLER GROVE ISD</t>
  </si>
  <si>
    <t>5,730</t>
  </si>
  <si>
    <t>11,460</t>
  </si>
  <si>
    <t>21,100</t>
  </si>
  <si>
    <t>184904</t>
  </si>
  <si>
    <t>MILLSAP ISD</t>
  </si>
  <si>
    <t>5,806</t>
  </si>
  <si>
    <t>11,613</t>
  </si>
  <si>
    <t>21,355</t>
  </si>
  <si>
    <t>250903</t>
  </si>
  <si>
    <t>MINEOLA ISD</t>
  </si>
  <si>
    <t>4,348</t>
  </si>
  <si>
    <t>8,697</t>
  </si>
  <si>
    <t>16,495</t>
  </si>
  <si>
    <t>182903</t>
  </si>
  <si>
    <t>MINERAL WELLS ISD</t>
  </si>
  <si>
    <t>7,567</t>
  </si>
  <si>
    <t>15,133</t>
  </si>
  <si>
    <t>27,222</t>
  </si>
  <si>
    <t>108908</t>
  </si>
  <si>
    <t>MISSION CISD</t>
  </si>
  <si>
    <t>6,253</t>
  </si>
  <si>
    <t>12,506</t>
  </si>
  <si>
    <t>22,843</t>
  </si>
  <si>
    <t>238902</t>
  </si>
  <si>
    <t>MONAHANS-WICKETT-PYOTE ISD</t>
  </si>
  <si>
    <t>4,533</t>
  </si>
  <si>
    <t>9,067</t>
  </si>
  <si>
    <t>17,111</t>
  </si>
  <si>
    <t>169908</t>
  </si>
  <si>
    <t>MONTAGUE ISD</t>
  </si>
  <si>
    <t>6,210</t>
  </si>
  <si>
    <t>12,420</t>
  </si>
  <si>
    <t>22,701</t>
  </si>
  <si>
    <t>108915</t>
  </si>
  <si>
    <t>MONTE ALTO ISD</t>
  </si>
  <si>
    <t>8,282</t>
  </si>
  <si>
    <t>16,564</t>
  </si>
  <si>
    <t>29,607</t>
  </si>
  <si>
    <t>227826</t>
  </si>
  <si>
    <t>MONTESSORI FOR ALL</t>
  </si>
  <si>
    <t>4,158</t>
  </si>
  <si>
    <t>8,316</t>
  </si>
  <si>
    <t>15,860</t>
  </si>
  <si>
    <t>170903</t>
  </si>
  <si>
    <t>MONTGOMERY ISD</t>
  </si>
  <si>
    <t>3,387</t>
  </si>
  <si>
    <t>6,774</t>
  </si>
  <si>
    <t>13,290</t>
  </si>
  <si>
    <t>161910</t>
  </si>
  <si>
    <t>MOODY ISD</t>
  </si>
  <si>
    <t>6,461</t>
  </si>
  <si>
    <t>12,922</t>
  </si>
  <si>
    <t>23,536</t>
  </si>
  <si>
    <t>209902</t>
  </si>
  <si>
    <t>MORAN ISD</t>
  </si>
  <si>
    <t>7,383</t>
  </si>
  <si>
    <t>14,765</t>
  </si>
  <si>
    <t>26,609</t>
  </si>
  <si>
    <t>018903</t>
  </si>
  <si>
    <t>MORGAN ISD</t>
  </si>
  <si>
    <t>8,144</t>
  </si>
  <si>
    <t>16,289</t>
  </si>
  <si>
    <t>29,148</t>
  </si>
  <si>
    <t>072910</t>
  </si>
  <si>
    <t>MORGAN MILL ISD</t>
  </si>
  <si>
    <t>10,975</t>
  </si>
  <si>
    <t>20,292</t>
  </si>
  <si>
    <t>040901</t>
  </si>
  <si>
    <t>MORTON ISD</t>
  </si>
  <si>
    <t>15,730</t>
  </si>
  <si>
    <t>28,216</t>
  </si>
  <si>
    <t>173901</t>
  </si>
  <si>
    <t>MOTLEY COUNTY ISD</t>
  </si>
  <si>
    <t>6,338</t>
  </si>
  <si>
    <t>12,676</t>
  </si>
  <si>
    <t>23,127</t>
  </si>
  <si>
    <t>143902</t>
  </si>
  <si>
    <t>MOULTON ISD</t>
  </si>
  <si>
    <t>6,341</t>
  </si>
  <si>
    <t>12,682</t>
  </si>
  <si>
    <t>23,136</t>
  </si>
  <si>
    <t>109910</t>
  </si>
  <si>
    <t>MOUNT CALM ISD</t>
  </si>
  <si>
    <t>6,970</t>
  </si>
  <si>
    <t>13,940</t>
  </si>
  <si>
    <t>25,234</t>
  </si>
  <si>
    <t>201907</t>
  </si>
  <si>
    <t>MOUNT ENTERPRISE ISD</t>
  </si>
  <si>
    <t>6,259</t>
  </si>
  <si>
    <t>12,518</t>
  </si>
  <si>
    <t>22,863</t>
  </si>
  <si>
    <t>225902</t>
  </si>
  <si>
    <t>MOUNT PLEASANT ISD</t>
  </si>
  <si>
    <t>5,900</t>
  </si>
  <si>
    <t>11,799</t>
  </si>
  <si>
    <t>21,665</t>
  </si>
  <si>
    <t>080901</t>
  </si>
  <si>
    <t>MOUNT VERNON ISD</t>
  </si>
  <si>
    <t>049902</t>
  </si>
  <si>
    <t>MUENSTER ISD</t>
  </si>
  <si>
    <t>4,853</t>
  </si>
  <si>
    <t>9,705</t>
  </si>
  <si>
    <t>18,175</t>
  </si>
  <si>
    <t>009901</t>
  </si>
  <si>
    <t>MULESHOE ISD</t>
  </si>
  <si>
    <t>14,925</t>
  </si>
  <si>
    <t>26,875</t>
  </si>
  <si>
    <t>167902</t>
  </si>
  <si>
    <t>MULLIN ISD</t>
  </si>
  <si>
    <t>7,581</t>
  </si>
  <si>
    <t>15,162</t>
  </si>
  <si>
    <t>27,269</t>
  </si>
  <si>
    <t>198906</t>
  </si>
  <si>
    <t>MUMFORD ISD</t>
  </si>
  <si>
    <t>7,315</t>
  </si>
  <si>
    <t>14,631</t>
  </si>
  <si>
    <t>26,385</t>
  </si>
  <si>
    <t>138903</t>
  </si>
  <si>
    <t>MUNDAY CISD</t>
  </si>
  <si>
    <t>107908</t>
  </si>
  <si>
    <t>MURCHISON ISD</t>
  </si>
  <si>
    <t>7,127</t>
  </si>
  <si>
    <t>14,254</t>
  </si>
  <si>
    <t>25,757</t>
  </si>
  <si>
    <t>174904</t>
  </si>
  <si>
    <t>NACOGDOCHES ISD</t>
  </si>
  <si>
    <t>6,396</t>
  </si>
  <si>
    <t>12,793</t>
  </si>
  <si>
    <t>23,321</t>
  </si>
  <si>
    <t>163903</t>
  </si>
  <si>
    <t>NATALIA ISD</t>
  </si>
  <si>
    <t>6,801</t>
  </si>
  <si>
    <t>13,603</t>
  </si>
  <si>
    <t>24,672</t>
  </si>
  <si>
    <t>094903</t>
  </si>
  <si>
    <t>NAVARRO ISD</t>
  </si>
  <si>
    <t>5,518</t>
  </si>
  <si>
    <t>11,035</t>
  </si>
  <si>
    <t>20,392</t>
  </si>
  <si>
    <t>093904</t>
  </si>
  <si>
    <t>NAVASOTA ISD</t>
  </si>
  <si>
    <t>5,629</t>
  </si>
  <si>
    <t>11,258</t>
  </si>
  <si>
    <t>20,763</t>
  </si>
  <si>
    <t>035903</t>
  </si>
  <si>
    <t>NAZARETH ISD</t>
  </si>
  <si>
    <t>4,804</t>
  </si>
  <si>
    <t>9,608</t>
  </si>
  <si>
    <t>18,013</t>
  </si>
  <si>
    <t>001906</t>
  </si>
  <si>
    <t>NECHES ISD</t>
  </si>
  <si>
    <t>5,918</t>
  </si>
  <si>
    <t>11,836</t>
  </si>
  <si>
    <t>21,726</t>
  </si>
  <si>
    <t>123905</t>
  </si>
  <si>
    <t>NEDERLAND ISD</t>
  </si>
  <si>
    <t>4,101</t>
  </si>
  <si>
    <t>8,202</t>
  </si>
  <si>
    <t>15,669</t>
  </si>
  <si>
    <t>079906</t>
  </si>
  <si>
    <t>NEEDVILLE ISD</t>
  </si>
  <si>
    <t>5,714</t>
  </si>
  <si>
    <t>11,428</t>
  </si>
  <si>
    <t>21,047</t>
  </si>
  <si>
    <t>019905</t>
  </si>
  <si>
    <t>NEW BOSTON ISD</t>
  </si>
  <si>
    <t>15,093</t>
  </si>
  <si>
    <t>27,155</t>
  </si>
  <si>
    <t>046901</t>
  </si>
  <si>
    <t>NEW BRAUNFELS ISD</t>
  </si>
  <si>
    <t>3,699</t>
  </si>
  <si>
    <t>7,397</t>
  </si>
  <si>
    <t>14,329</t>
  </si>
  <si>
    <t>170908</t>
  </si>
  <si>
    <t>NEW CANEY ISD</t>
  </si>
  <si>
    <t>4,536</t>
  </si>
  <si>
    <t>9,072</t>
  </si>
  <si>
    <t>17,120</t>
  </si>
  <si>
    <t>152902</t>
  </si>
  <si>
    <t>NEW DEAL ISD</t>
  </si>
  <si>
    <t>12,741</t>
  </si>
  <si>
    <t>23,234</t>
  </si>
  <si>
    <t>230906</t>
  </si>
  <si>
    <t>NEW DIANA ISD</t>
  </si>
  <si>
    <t>5,527</t>
  </si>
  <si>
    <t>11,054</t>
  </si>
  <si>
    <t>20,423</t>
  </si>
  <si>
    <t>015805</t>
  </si>
  <si>
    <t>NEW FRONTIERS PUBLIC SCHOOLS INC</t>
  </si>
  <si>
    <t>5,027</t>
  </si>
  <si>
    <t>10,054</t>
  </si>
  <si>
    <t>18,757</t>
  </si>
  <si>
    <t>153905</t>
  </si>
  <si>
    <t>NEW HOME ISD</t>
  </si>
  <si>
    <t>4,857</t>
  </si>
  <si>
    <t>9,713</t>
  </si>
  <si>
    <t>18,188</t>
  </si>
  <si>
    <t>037908</t>
  </si>
  <si>
    <t>NEW SUMMERFIELD ISD</t>
  </si>
  <si>
    <t>7,014</t>
  </si>
  <si>
    <t>14,029</t>
  </si>
  <si>
    <t>25,381</t>
  </si>
  <si>
    <t>236901</t>
  </si>
  <si>
    <t>NEW WAVERLY ISD</t>
  </si>
  <si>
    <t>5,980</t>
  </si>
  <si>
    <t>11,961</t>
  </si>
  <si>
    <t>21,935</t>
  </si>
  <si>
    <t>252902</t>
  </si>
  <si>
    <t>NEWCASTLE ISD</t>
  </si>
  <si>
    <t>12,740</t>
  </si>
  <si>
    <t>23,233</t>
  </si>
  <si>
    <t>220817</t>
  </si>
  <si>
    <t>NEWMAN INTERNATIONAL ACADEMY OF ARLINGTON</t>
  </si>
  <si>
    <t>4,714</t>
  </si>
  <si>
    <t>9,428</t>
  </si>
  <si>
    <t>17,713</t>
  </si>
  <si>
    <t>176902</t>
  </si>
  <si>
    <t>NEWTON ISD</t>
  </si>
  <si>
    <t>7,850</t>
  </si>
  <si>
    <t>15,699</t>
  </si>
  <si>
    <t>28,165</t>
  </si>
  <si>
    <t>089903</t>
  </si>
  <si>
    <t>NIXON-SMILEY CISD</t>
  </si>
  <si>
    <t>7,747</t>
  </si>
  <si>
    <t>15,495</t>
  </si>
  <si>
    <t>27,824</t>
  </si>
  <si>
    <t>169902</t>
  </si>
  <si>
    <t>NOCONA ISD</t>
  </si>
  <si>
    <t>6,757</t>
  </si>
  <si>
    <t>13,514</t>
  </si>
  <si>
    <t>24,523</t>
  </si>
  <si>
    <t>062902</t>
  </si>
  <si>
    <t>NORDHEIM ISD</t>
  </si>
  <si>
    <t>7,248</t>
  </si>
  <si>
    <t>14,496</t>
  </si>
  <si>
    <t>26,159</t>
  </si>
  <si>
    <t>145906</t>
  </si>
  <si>
    <t>NORMANGEE ISD</t>
  </si>
  <si>
    <t>6,088</t>
  </si>
  <si>
    <t>12,176</t>
  </si>
  <si>
    <t>22,293</t>
  </si>
  <si>
    <t>015910</t>
  </si>
  <si>
    <t>NORTH EAST ISD</t>
  </si>
  <si>
    <t>4,592</t>
  </si>
  <si>
    <t>9,184</t>
  </si>
  <si>
    <t>17,306</t>
  </si>
  <si>
    <t>112906</t>
  </si>
  <si>
    <t>NORTH HOPKINS ISD</t>
  </si>
  <si>
    <t>5,865</t>
  </si>
  <si>
    <t>11,730</t>
  </si>
  <si>
    <t>21,549</t>
  </si>
  <si>
    <t>139911</t>
  </si>
  <si>
    <t>NORTH LAMAR ISD</t>
  </si>
  <si>
    <t>5,985</t>
  </si>
  <si>
    <t>11,970</t>
  </si>
  <si>
    <t>21,949</t>
  </si>
  <si>
    <t>061802</t>
  </si>
  <si>
    <t>NORTH TEXAS COLLEGIATE ACADEMY</t>
  </si>
  <si>
    <t>6,194</t>
  </si>
  <si>
    <t>12,388</t>
  </si>
  <si>
    <t>22,646</t>
  </si>
  <si>
    <t>154903</t>
  </si>
  <si>
    <t>NORTH ZULCH ISD</t>
  </si>
  <si>
    <t>6,575</t>
  </si>
  <si>
    <t>13,150</t>
  </si>
  <si>
    <t>23,917</t>
  </si>
  <si>
    <t>015915</t>
  </si>
  <si>
    <t>NORTHSIDE ISD</t>
  </si>
  <si>
    <t>4,358</t>
  </si>
  <si>
    <t>8,716</t>
  </si>
  <si>
    <t>16,527</t>
  </si>
  <si>
    <t>244905</t>
  </si>
  <si>
    <t>5,756</t>
  </si>
  <si>
    <t>11,511</t>
  </si>
  <si>
    <t>21,185</t>
  </si>
  <si>
    <t>061911</t>
  </si>
  <si>
    <t>NORTHWEST ISD</t>
  </si>
  <si>
    <t>3,324</t>
  </si>
  <si>
    <t>6,649</t>
  </si>
  <si>
    <t>13,082</t>
  </si>
  <si>
    <t>057809</t>
  </si>
  <si>
    <t>NOVA ACADEMY</t>
  </si>
  <si>
    <t>6,925</t>
  </si>
  <si>
    <t>13,851</t>
  </si>
  <si>
    <t>25,084</t>
  </si>
  <si>
    <t>057827</t>
  </si>
  <si>
    <t>NOVA ACADEMY SOUTHEAST</t>
  </si>
  <si>
    <t>7,382</t>
  </si>
  <si>
    <t>14,764</t>
  </si>
  <si>
    <t>26,606</t>
  </si>
  <si>
    <t>069902</t>
  </si>
  <si>
    <t>NUECES CANYON CISD</t>
  </si>
  <si>
    <t>15,418</t>
  </si>
  <si>
    <t>27,696</t>
  </si>
  <si>
    <t>235904</t>
  </si>
  <si>
    <t>NURSERY ISD</t>
  </si>
  <si>
    <t>5,196</t>
  </si>
  <si>
    <t>10,393</t>
  </si>
  <si>
    <t>19,321</t>
  </si>
  <si>
    <t>227804</t>
  </si>
  <si>
    <t>NYOS CHARTER SCHOOL</t>
  </si>
  <si>
    <t>3,691</t>
  </si>
  <si>
    <t>14,303</t>
  </si>
  <si>
    <t>145907</t>
  </si>
  <si>
    <t>OAKWOOD ISD</t>
  </si>
  <si>
    <t>7,953</t>
  </si>
  <si>
    <t>15,906</t>
  </si>
  <si>
    <t>28,510</t>
  </si>
  <si>
    <t>205905</t>
  </si>
  <si>
    <t>ODEM-EDROY ISD</t>
  </si>
  <si>
    <t>24,991</t>
  </si>
  <si>
    <t>153903</t>
  </si>
  <si>
    <t>O'DONNELL ISD</t>
  </si>
  <si>
    <t>7,110</t>
  </si>
  <si>
    <t>14,220</t>
  </si>
  <si>
    <t>25,699</t>
  </si>
  <si>
    <t>084802</t>
  </si>
  <si>
    <t>ODYSSEY ACADEMY INC</t>
  </si>
  <si>
    <t>5,420</t>
  </si>
  <si>
    <t>10,839</t>
  </si>
  <si>
    <t>20,065</t>
  </si>
  <si>
    <t>050904</t>
  </si>
  <si>
    <t>OGLESBY ISD</t>
  </si>
  <si>
    <t>11,410</t>
  </si>
  <si>
    <t>21,017</t>
  </si>
  <si>
    <t>200906</t>
  </si>
  <si>
    <t>OLFEN ISD</t>
  </si>
  <si>
    <t>7,034</t>
  </si>
  <si>
    <t>14,069</t>
  </si>
  <si>
    <t>25,448</t>
  </si>
  <si>
    <t>252903</t>
  </si>
  <si>
    <t>OLNEY ISD</t>
  </si>
  <si>
    <t>6,882</t>
  </si>
  <si>
    <t>13,764</t>
  </si>
  <si>
    <t>24,939</t>
  </si>
  <si>
    <t>140905</t>
  </si>
  <si>
    <t>OLTON ISD</t>
  </si>
  <si>
    <t>7,515</t>
  </si>
  <si>
    <t>15,030</t>
  </si>
  <si>
    <t>27,050</t>
  </si>
  <si>
    <t>187910</t>
  </si>
  <si>
    <t>ONALASKA ISD</t>
  </si>
  <si>
    <t>6,950</t>
  </si>
  <si>
    <t>13,900</t>
  </si>
  <si>
    <t>25,166</t>
  </si>
  <si>
    <t>125903</t>
  </si>
  <si>
    <t>ORANGE GROVE ISD</t>
  </si>
  <si>
    <t>6,734</t>
  </si>
  <si>
    <t>13,469</t>
  </si>
  <si>
    <t>24,448</t>
  </si>
  <si>
    <t>181905</t>
  </si>
  <si>
    <t>ORANGEFIELD ISD</t>
  </si>
  <si>
    <t>5,326</t>
  </si>
  <si>
    <t>10,652</t>
  </si>
  <si>
    <t>19,753</t>
  </si>
  <si>
    <t>230903</t>
  </si>
  <si>
    <t>ORE CITY ISD</t>
  </si>
  <si>
    <t>7,059</t>
  </si>
  <si>
    <t>14,119</t>
  </si>
  <si>
    <t>25,531</t>
  </si>
  <si>
    <t>014804</t>
  </si>
  <si>
    <t>ORENDA CHARTER SCHOOL</t>
  </si>
  <si>
    <t>4,843</t>
  </si>
  <si>
    <t>9,686</t>
  </si>
  <si>
    <t>18,144</t>
  </si>
  <si>
    <t>201908</t>
  </si>
  <si>
    <t>OVERTON ISD</t>
  </si>
  <si>
    <t>7,297</t>
  </si>
  <si>
    <t>14,595</t>
  </si>
  <si>
    <t>26,325</t>
  </si>
  <si>
    <t>051901</t>
  </si>
  <si>
    <t>PADUCAH ISD</t>
  </si>
  <si>
    <t>6,755</t>
  </si>
  <si>
    <t>13,510</t>
  </si>
  <si>
    <t>24,516</t>
  </si>
  <si>
    <t>104907</t>
  </si>
  <si>
    <t>PAINT CREEK ISD</t>
  </si>
  <si>
    <t>13,294</t>
  </si>
  <si>
    <t>24,156</t>
  </si>
  <si>
    <t>048903</t>
  </si>
  <si>
    <t>PAINT ROCK ISD</t>
  </si>
  <si>
    <t>7,820</t>
  </si>
  <si>
    <t>15,641</t>
  </si>
  <si>
    <t>28,068</t>
  </si>
  <si>
    <t>158905</t>
  </si>
  <si>
    <t>PALACIOS ISD</t>
  </si>
  <si>
    <t>6,512</t>
  </si>
  <si>
    <t>13,024</t>
  </si>
  <si>
    <t>23,707</t>
  </si>
  <si>
    <t>001907</t>
  </si>
  <si>
    <t>PALESTINE ISD</t>
  </si>
  <si>
    <t>5,872</t>
  </si>
  <si>
    <t>11,744</t>
  </si>
  <si>
    <t>21,574</t>
  </si>
  <si>
    <t>070910</t>
  </si>
  <si>
    <t>PALMER ISD</t>
  </si>
  <si>
    <t>12,141</t>
  </si>
  <si>
    <t>22,236</t>
  </si>
  <si>
    <t>182906</t>
  </si>
  <si>
    <t>PALO PINTO ISD</t>
  </si>
  <si>
    <t>12,379</t>
  </si>
  <si>
    <t>22,632</t>
  </si>
  <si>
    <t>090904</t>
  </si>
  <si>
    <t>PAMPA ISD</t>
  </si>
  <si>
    <t>6,955</t>
  </si>
  <si>
    <t>13,911</t>
  </si>
  <si>
    <t>25,184</t>
  </si>
  <si>
    <t>033902</t>
  </si>
  <si>
    <t>PANHANDLE ISD</t>
  </si>
  <si>
    <t>9,825</t>
  </si>
  <si>
    <t>18,375</t>
  </si>
  <si>
    <t>183801</t>
  </si>
  <si>
    <t>PANOLA CHARTER SCHOOL</t>
  </si>
  <si>
    <t>4,296</t>
  </si>
  <si>
    <t>8,592</t>
  </si>
  <si>
    <t>16,321</t>
  </si>
  <si>
    <t>042905</t>
  </si>
  <si>
    <t>PANTHER CREEK CISD</t>
  </si>
  <si>
    <t>6,816</t>
  </si>
  <si>
    <t>13,631</t>
  </si>
  <si>
    <t>24,719</t>
  </si>
  <si>
    <t>249906</t>
  </si>
  <si>
    <t>PARADISE ISD</t>
  </si>
  <si>
    <t>5,146</t>
  </si>
  <si>
    <t>10,291</t>
  </si>
  <si>
    <t>19,152</t>
  </si>
  <si>
    <t>139909</t>
  </si>
  <si>
    <t>PARIS ISD</t>
  </si>
  <si>
    <t>6,963</t>
  </si>
  <si>
    <t>13,926</t>
  </si>
  <si>
    <t>25,211</t>
  </si>
  <si>
    <t>101917</t>
  </si>
  <si>
    <t>PASADENA ISD</t>
  </si>
  <si>
    <t>6,020</t>
  </si>
  <si>
    <t>12,040</t>
  </si>
  <si>
    <t>22,066</t>
  </si>
  <si>
    <t>063906</t>
  </si>
  <si>
    <t>PATTON SPRINGS ISD</t>
  </si>
  <si>
    <t>7,293</t>
  </si>
  <si>
    <t>14,586</t>
  </si>
  <si>
    <t>26,310</t>
  </si>
  <si>
    <t>013902</t>
  </si>
  <si>
    <t>PAWNEE ISD</t>
  </si>
  <si>
    <t>7,605</t>
  </si>
  <si>
    <t>15,210</t>
  </si>
  <si>
    <t>27,350</t>
  </si>
  <si>
    <t>020908</t>
  </si>
  <si>
    <t>PEARLAND ISD</t>
  </si>
  <si>
    <t>3,626</t>
  </si>
  <si>
    <t>7,251</t>
  </si>
  <si>
    <t>14,085</t>
  </si>
  <si>
    <t>082903</t>
  </si>
  <si>
    <t>PEARSALL ISD</t>
  </si>
  <si>
    <t>7,530</t>
  </si>
  <si>
    <t>15,060</t>
  </si>
  <si>
    <t>27,100</t>
  </si>
  <si>
    <t>184908</t>
  </si>
  <si>
    <t>PEASTER ISD</t>
  </si>
  <si>
    <t>195901</t>
  </si>
  <si>
    <t>PECOS-BARSTOW-TOYAH ISD</t>
  </si>
  <si>
    <t>7,173</t>
  </si>
  <si>
    <t>14,346</t>
  </si>
  <si>
    <t>25,909</t>
  </si>
  <si>
    <t>057802</t>
  </si>
  <si>
    <t>PEGASUS SCHOOL OF LIBERAL ARTS AND SCIENCES</t>
  </si>
  <si>
    <t>5,153</t>
  </si>
  <si>
    <t>10,306</t>
  </si>
  <si>
    <t>19,177</t>
  </si>
  <si>
    <t>109914</t>
  </si>
  <si>
    <t>PENELOPE ISD</t>
  </si>
  <si>
    <t>6,764</t>
  </si>
  <si>
    <t>13,529</t>
  </si>
  <si>
    <t>24,548</t>
  </si>
  <si>
    <t>119903</t>
  </si>
  <si>
    <t>PERRIN-WHITT CISD</t>
  </si>
  <si>
    <t>5,817</t>
  </si>
  <si>
    <t>11,634</t>
  </si>
  <si>
    <t>21,391</t>
  </si>
  <si>
    <t>179901</t>
  </si>
  <si>
    <t>PERRYTON ISD</t>
  </si>
  <si>
    <t>14,060</t>
  </si>
  <si>
    <t>25,433</t>
  </si>
  <si>
    <t>095904</t>
  </si>
  <si>
    <t>PETERSBURG ISD</t>
  </si>
  <si>
    <t>7,903</t>
  </si>
  <si>
    <t>15,807</t>
  </si>
  <si>
    <t>28,345</t>
  </si>
  <si>
    <t>039903</t>
  </si>
  <si>
    <t>PETROLIA CISD</t>
  </si>
  <si>
    <t>6,263</t>
  </si>
  <si>
    <t>12,525</t>
  </si>
  <si>
    <t>22,875</t>
  </si>
  <si>
    <t>013903</t>
  </si>
  <si>
    <t>PETTUS ISD</t>
  </si>
  <si>
    <t>6,782</t>
  </si>
  <si>
    <t>13,564</t>
  </si>
  <si>
    <t>24,607</t>
  </si>
  <si>
    <t>172905</t>
  </si>
  <si>
    <t>PEWITT CISD</t>
  </si>
  <si>
    <t>6,736</t>
  </si>
  <si>
    <t>13,472</t>
  </si>
  <si>
    <t>24,453</t>
  </si>
  <si>
    <t>227904</t>
  </si>
  <si>
    <t>PFLUGERVILLE ISD</t>
  </si>
  <si>
    <t>4,027</t>
  </si>
  <si>
    <t>8,055</t>
  </si>
  <si>
    <t>15,425</t>
  </si>
  <si>
    <t>108909</t>
  </si>
  <si>
    <t>PHARR-SAN JUAN-ALAMO ISD</t>
  </si>
  <si>
    <t>6,524</t>
  </si>
  <si>
    <t>13,048</t>
  </si>
  <si>
    <t>23,746</t>
  </si>
  <si>
    <t>061903</t>
  </si>
  <si>
    <t>PILOT POINT ISD</t>
  </si>
  <si>
    <t>5,715</t>
  </si>
  <si>
    <t>11,431</t>
  </si>
  <si>
    <t>21,051</t>
  </si>
  <si>
    <t>092904</t>
  </si>
  <si>
    <t>PINE TREE ISD</t>
  </si>
  <si>
    <t>5,517</t>
  </si>
  <si>
    <t>11,034</t>
  </si>
  <si>
    <t>20,390</t>
  </si>
  <si>
    <t>003801</t>
  </si>
  <si>
    <t>PINEYWOODS COMMUNITY ACADEMY</t>
  </si>
  <si>
    <t>4,841</t>
  </si>
  <si>
    <t>9,683</t>
  </si>
  <si>
    <t>18,138</t>
  </si>
  <si>
    <t>057850</t>
  </si>
  <si>
    <t>PIONEER TECHNOLOGY &amp; ARTS ACADEMY</t>
  </si>
  <si>
    <t>5,959</t>
  </si>
  <si>
    <t>11,918</t>
  </si>
  <si>
    <t>21,863</t>
  </si>
  <si>
    <t>032902</t>
  </si>
  <si>
    <t>PITTSBURG ISD</t>
  </si>
  <si>
    <t>7,301</t>
  </si>
  <si>
    <t>14,603</t>
  </si>
  <si>
    <t>26,338</t>
  </si>
  <si>
    <t>251902</t>
  </si>
  <si>
    <t>PLAINS ISD</t>
  </si>
  <si>
    <t>6,424</t>
  </si>
  <si>
    <t>12,849</t>
  </si>
  <si>
    <t>23,415</t>
  </si>
  <si>
    <t>095905</t>
  </si>
  <si>
    <t>PLAINVIEW ISD</t>
  </si>
  <si>
    <t>6,599</t>
  </si>
  <si>
    <t>13,197</t>
  </si>
  <si>
    <t>23,996</t>
  </si>
  <si>
    <t>043910</t>
  </si>
  <si>
    <t>PLANO ISD</t>
  </si>
  <si>
    <t>3,903</t>
  </si>
  <si>
    <t>7,806</t>
  </si>
  <si>
    <t>15,010</t>
  </si>
  <si>
    <t>019912</t>
  </si>
  <si>
    <t>PLEASANT GROVE ISD</t>
  </si>
  <si>
    <t>5,838</t>
  </si>
  <si>
    <t>11,675</t>
  </si>
  <si>
    <t>21,458</t>
  </si>
  <si>
    <t>007905</t>
  </si>
  <si>
    <t>PLEASANTON ISD</t>
  </si>
  <si>
    <t>10,431</t>
  </si>
  <si>
    <t>19,386</t>
  </si>
  <si>
    <t>117904</t>
  </si>
  <si>
    <t>PLEMONS-STINNETT-PHILLIPS CISD</t>
  </si>
  <si>
    <t>11,213</t>
  </si>
  <si>
    <t>20,688</t>
  </si>
  <si>
    <t>031909</t>
  </si>
  <si>
    <t>POINT ISABEL ISD</t>
  </si>
  <si>
    <t>6,107</t>
  </si>
  <si>
    <t>12,214</t>
  </si>
  <si>
    <t>22,356</t>
  </si>
  <si>
    <t>061906</t>
  </si>
  <si>
    <t>PONDER ISD</t>
  </si>
  <si>
    <t>10,884</t>
  </si>
  <si>
    <t>20,140</t>
  </si>
  <si>
    <t>184901</t>
  </si>
  <si>
    <t>POOLVILLE ISD</t>
  </si>
  <si>
    <t>5,355</t>
  </si>
  <si>
    <t>10,710</t>
  </si>
  <si>
    <t>19,851</t>
  </si>
  <si>
    <t>015801</t>
  </si>
  <si>
    <t>POR VIDA ACADEMY</t>
  </si>
  <si>
    <t>6,309</t>
  </si>
  <si>
    <t>23,029</t>
  </si>
  <si>
    <t>178908</t>
  </si>
  <si>
    <t>PORT ARANSAS ISD</t>
  </si>
  <si>
    <t>5,179</t>
  </si>
  <si>
    <t>10,358</t>
  </si>
  <si>
    <t>19,263</t>
  </si>
  <si>
    <t>123907</t>
  </si>
  <si>
    <t>PORT ARTHUR ISD</t>
  </si>
  <si>
    <t>6,798</t>
  </si>
  <si>
    <t>13,595</t>
  </si>
  <si>
    <t>24,658</t>
  </si>
  <si>
    <t>123908</t>
  </si>
  <si>
    <t>PORT NECHES-GROVES ISD</t>
  </si>
  <si>
    <t>3,712</t>
  </si>
  <si>
    <t>7,424</t>
  </si>
  <si>
    <t>14,373</t>
  </si>
  <si>
    <t>015814</t>
  </si>
  <si>
    <t>POSITIVE SOLUTIONS CHARTER SCHOOL</t>
  </si>
  <si>
    <t>7,468</t>
  </si>
  <si>
    <t>14,935</t>
  </si>
  <si>
    <t>26,892</t>
  </si>
  <si>
    <t>085902</t>
  </si>
  <si>
    <t>POST ISD</t>
  </si>
  <si>
    <t>7,454</t>
  </si>
  <si>
    <t>14,907</t>
  </si>
  <si>
    <t>26,846</t>
  </si>
  <si>
    <t>007906</t>
  </si>
  <si>
    <t>POTEET ISD</t>
  </si>
  <si>
    <t>7,555</t>
  </si>
  <si>
    <t>15,110</t>
  </si>
  <si>
    <t>27,184</t>
  </si>
  <si>
    <t>247904</t>
  </si>
  <si>
    <t>POTH ISD</t>
  </si>
  <si>
    <t>5,571</t>
  </si>
  <si>
    <t>11,143</t>
  </si>
  <si>
    <t>20,571</t>
  </si>
  <si>
    <t>091913</t>
  </si>
  <si>
    <t>POTTSBORO ISD</t>
  </si>
  <si>
    <t>3,598</t>
  </si>
  <si>
    <t>13,993</t>
  </si>
  <si>
    <t>028906</t>
  </si>
  <si>
    <t>PRAIRIE LEA ISD</t>
  </si>
  <si>
    <t>5,797</t>
  </si>
  <si>
    <t>11,593</t>
  </si>
  <si>
    <t>21,322</t>
  </si>
  <si>
    <t>169909</t>
  </si>
  <si>
    <t>PRAIRIE VALLEY ISD</t>
  </si>
  <si>
    <t>6,406</t>
  </si>
  <si>
    <t>12,811</t>
  </si>
  <si>
    <t>23,352</t>
  </si>
  <si>
    <t>139912</t>
  </si>
  <si>
    <t>PRAIRILAND ISD</t>
  </si>
  <si>
    <t>12,077</t>
  </si>
  <si>
    <t>22,128</t>
  </si>
  <si>
    <t>015843</t>
  </si>
  <si>
    <t>PRELUDE PREPARATORY CHARTER SCHOOL</t>
  </si>
  <si>
    <t>7,009</t>
  </si>
  <si>
    <t>14,019</t>
  </si>
  <si>
    <t>25,364</t>
  </si>
  <si>
    <t>072801</t>
  </si>
  <si>
    <t>PREMIER HIGH SCHOOLS</t>
  </si>
  <si>
    <t>5,151</t>
  </si>
  <si>
    <t>10,302</t>
  </si>
  <si>
    <t>19,170</t>
  </si>
  <si>
    <t>125905</t>
  </si>
  <si>
    <t>PREMONT ISD</t>
  </si>
  <si>
    <t>189902</t>
  </si>
  <si>
    <t>PRESIDIO ISD</t>
  </si>
  <si>
    <t>8,613</t>
  </si>
  <si>
    <t>17,226</t>
  </si>
  <si>
    <t>30,710</t>
  </si>
  <si>
    <t>167904</t>
  </si>
  <si>
    <t>PRIDDY ISD</t>
  </si>
  <si>
    <t>5,804</t>
  </si>
  <si>
    <t>11,607</t>
  </si>
  <si>
    <t>21,346</t>
  </si>
  <si>
    <t>043911</t>
  </si>
  <si>
    <t>PRINCETON ISD</t>
  </si>
  <si>
    <t>4,129</t>
  </si>
  <si>
    <t>8,258</t>
  </si>
  <si>
    <t>15,763</t>
  </si>
  <si>
    <t>098903</t>
  </si>
  <si>
    <t>PRINGLE-MORSE CISD</t>
  </si>
  <si>
    <t>6,683</t>
  </si>
  <si>
    <t>13,366</t>
  </si>
  <si>
    <t>24,276</t>
  </si>
  <si>
    <t>014803</t>
  </si>
  <si>
    <t>PRIORITY CHARTER SCHOOLS</t>
  </si>
  <si>
    <t>5,583</t>
  </si>
  <si>
    <t>11,167</t>
  </si>
  <si>
    <t>20,611</t>
  </si>
  <si>
    <t>108910</t>
  </si>
  <si>
    <t>PROGRESO ISD</t>
  </si>
  <si>
    <t>8,411</t>
  </si>
  <si>
    <t>16,822</t>
  </si>
  <si>
    <t>30,037</t>
  </si>
  <si>
    <t>015839</t>
  </si>
  <si>
    <t>PROMESA ACADEMY CHARTER SCHOOL</t>
  </si>
  <si>
    <t>5,897</t>
  </si>
  <si>
    <t>11,794</t>
  </si>
  <si>
    <t>21,657</t>
  </si>
  <si>
    <t>101853</t>
  </si>
  <si>
    <t>PROMISE COMMUNITY SCHOOL</t>
  </si>
  <si>
    <t>7,181</t>
  </si>
  <si>
    <t>14,363</t>
  </si>
  <si>
    <t>25,938</t>
  </si>
  <si>
    <t>043912</t>
  </si>
  <si>
    <t>PROSPER ISD</t>
  </si>
  <si>
    <t>3,059</t>
  </si>
  <si>
    <t>6,118</t>
  </si>
  <si>
    <t>12,197</t>
  </si>
  <si>
    <t>099903</t>
  </si>
  <si>
    <t>QUANAH ISD</t>
  </si>
  <si>
    <t>7,525</t>
  </si>
  <si>
    <t>15,050</t>
  </si>
  <si>
    <t>27,083</t>
  </si>
  <si>
    <t>034907</t>
  </si>
  <si>
    <t>QUEEN CITY ISD</t>
  </si>
  <si>
    <t>6,943</t>
  </si>
  <si>
    <t>13,886</t>
  </si>
  <si>
    <t>25,143</t>
  </si>
  <si>
    <t>116908</t>
  </si>
  <si>
    <t>QUINLAN ISD</t>
  </si>
  <si>
    <t>6,988</t>
  </si>
  <si>
    <t>13,975</t>
  </si>
  <si>
    <t>25,292</t>
  </si>
  <si>
    <t>250904</t>
  </si>
  <si>
    <t>QUITMAN ISD</t>
  </si>
  <si>
    <t>4,219</t>
  </si>
  <si>
    <t>8,439</t>
  </si>
  <si>
    <t>16,064</t>
  </si>
  <si>
    <t>190903</t>
  </si>
  <si>
    <t>RAINS ISD</t>
  </si>
  <si>
    <t>6,584</t>
  </si>
  <si>
    <t>13,168</t>
  </si>
  <si>
    <t>23,947</t>
  </si>
  <si>
    <t>054903</t>
  </si>
  <si>
    <t>RALLS ISD</t>
  </si>
  <si>
    <t>8,248</t>
  </si>
  <si>
    <t>16,496</t>
  </si>
  <si>
    <t>29,493</t>
  </si>
  <si>
    <t>066005</t>
  </si>
  <si>
    <t>RAMIREZ CSD</t>
  </si>
  <si>
    <t>7,800</t>
  </si>
  <si>
    <t>15,600</t>
  </si>
  <si>
    <t>28,000</t>
  </si>
  <si>
    <t>234801</t>
  </si>
  <si>
    <t>RANCH ACADEMY</t>
  </si>
  <si>
    <t>7,617</t>
  </si>
  <si>
    <t>15,234</t>
  </si>
  <si>
    <t>27,391</t>
  </si>
  <si>
    <t>015906</t>
  </si>
  <si>
    <t>RANDOLPH FIELD ISD</t>
  </si>
  <si>
    <t>4,654</t>
  </si>
  <si>
    <t>9,307</t>
  </si>
  <si>
    <t>17,512</t>
  </si>
  <si>
    <t>067907</t>
  </si>
  <si>
    <t>RANGER ISD</t>
  </si>
  <si>
    <t>7,838</t>
  </si>
  <si>
    <t>15,675</t>
  </si>
  <si>
    <t>28,125</t>
  </si>
  <si>
    <t>231902</t>
  </si>
  <si>
    <t>RANKIN ISD</t>
  </si>
  <si>
    <t>161802</t>
  </si>
  <si>
    <t>RAPOPORT ACADEMY PUBLIC SCHOOL</t>
  </si>
  <si>
    <t>6,038</t>
  </si>
  <si>
    <t>101806</t>
  </si>
  <si>
    <t>RAUL YZAGUIRRE SCHOOLS FOR SUCCESS</t>
  </si>
  <si>
    <t>7,392</t>
  </si>
  <si>
    <t>14,784</t>
  </si>
  <si>
    <t>26,639</t>
  </si>
  <si>
    <t>236801</t>
  </si>
  <si>
    <t>RAVEN SCHOOL</t>
  </si>
  <si>
    <t>7,679</t>
  </si>
  <si>
    <t>15,357</t>
  </si>
  <si>
    <t>27,595</t>
  </si>
  <si>
    <t>245903</t>
  </si>
  <si>
    <t>RAYMONDVILLE ISD</t>
  </si>
  <si>
    <t>6,948</t>
  </si>
  <si>
    <t>13,896</t>
  </si>
  <si>
    <t>25,160</t>
  </si>
  <si>
    <t>192901</t>
  </si>
  <si>
    <t>REAGAN COUNTY ISD</t>
  </si>
  <si>
    <t>6,244</t>
  </si>
  <si>
    <t>12,489</t>
  </si>
  <si>
    <t>22,814</t>
  </si>
  <si>
    <t>019911</t>
  </si>
  <si>
    <t>RED LICK ISD</t>
  </si>
  <si>
    <t>4,708</t>
  </si>
  <si>
    <t>9,417</t>
  </si>
  <si>
    <t>17,694</t>
  </si>
  <si>
    <t>070911</t>
  </si>
  <si>
    <t>RED OAK ISD</t>
  </si>
  <si>
    <t>3,837</t>
  </si>
  <si>
    <t>7,674</t>
  </si>
  <si>
    <t>14,790</t>
  </si>
  <si>
    <t>019906</t>
  </si>
  <si>
    <t>REDWATER ISD</t>
  </si>
  <si>
    <t>5,835</t>
  </si>
  <si>
    <t>11,671</t>
  </si>
  <si>
    <t>21,452</t>
  </si>
  <si>
    <t>196903</t>
  </si>
  <si>
    <t>REFUGIO ISD</t>
  </si>
  <si>
    <t>26,194</t>
  </si>
  <si>
    <t>101876</t>
  </si>
  <si>
    <t>REVE PREPARATORY CHARTER SCHOOL</t>
  </si>
  <si>
    <t>13,677</t>
  </si>
  <si>
    <t>24,795</t>
  </si>
  <si>
    <t>137902</t>
  </si>
  <si>
    <t>RICARDO ISD</t>
  </si>
  <si>
    <t>5,863</t>
  </si>
  <si>
    <t>045903</t>
  </si>
  <si>
    <t>RICE CISD</t>
  </si>
  <si>
    <t>14,211</t>
  </si>
  <si>
    <t>25,684</t>
  </si>
  <si>
    <t>175911</t>
  </si>
  <si>
    <t>RICE ISD</t>
  </si>
  <si>
    <t>7,192</t>
  </si>
  <si>
    <t>14,384</t>
  </si>
  <si>
    <t>25,973</t>
  </si>
  <si>
    <t>014801</t>
  </si>
  <si>
    <t>RICHARD MILBURN ALTER HIGH SCHOOL (KILLEEN)</t>
  </si>
  <si>
    <t>5,444</t>
  </si>
  <si>
    <t>10,888</t>
  </si>
  <si>
    <t>20,146</t>
  </si>
  <si>
    <t>093905</t>
  </si>
  <si>
    <t>RICHARDS ISD</t>
  </si>
  <si>
    <t>10,971</t>
  </si>
  <si>
    <t>20,285</t>
  </si>
  <si>
    <t>057916</t>
  </si>
  <si>
    <t>RICHARDSON ISD</t>
  </si>
  <si>
    <t>5,012</t>
  </si>
  <si>
    <t>10,024</t>
  </si>
  <si>
    <t>18,706</t>
  </si>
  <si>
    <t>057840</t>
  </si>
  <si>
    <t>RICHLAND COLLEGIATE HIGH SCHOOL</t>
  </si>
  <si>
    <t>4,068</t>
  </si>
  <si>
    <t>8,136</t>
  </si>
  <si>
    <t>15,561</t>
  </si>
  <si>
    <t>206902</t>
  </si>
  <si>
    <t>RICHLAND SPRINGS ISD</t>
  </si>
  <si>
    <t>4,945</t>
  </si>
  <si>
    <t>9,890</t>
  </si>
  <si>
    <t>18,483</t>
  </si>
  <si>
    <t>161912</t>
  </si>
  <si>
    <t>RIESEL ISD</t>
  </si>
  <si>
    <t>11,892</t>
  </si>
  <si>
    <t>21,821</t>
  </si>
  <si>
    <t>214901</t>
  </si>
  <si>
    <t>RIO GRANDE CITY GRULLA ISD</t>
  </si>
  <si>
    <t>7,183</t>
  </si>
  <si>
    <t>14,367</t>
  </si>
  <si>
    <t>25,945</t>
  </si>
  <si>
    <t>031911</t>
  </si>
  <si>
    <t>RIO HONDO ISD</t>
  </si>
  <si>
    <t>8,006</t>
  </si>
  <si>
    <t>16,013</t>
  </si>
  <si>
    <t>28,688</t>
  </si>
  <si>
    <t>126907</t>
  </si>
  <si>
    <t>RIO VISTA ISD</t>
  </si>
  <si>
    <t>6,569</t>
  </si>
  <si>
    <t>13,138</t>
  </si>
  <si>
    <t>23,897</t>
  </si>
  <si>
    <t>152802</t>
  </si>
  <si>
    <t>RISE ACADEMY</t>
  </si>
  <si>
    <t>6,537</t>
  </si>
  <si>
    <t>13,075</t>
  </si>
  <si>
    <t>23,792</t>
  </si>
  <si>
    <t>067908</t>
  </si>
  <si>
    <t>RISING STAR ISD</t>
  </si>
  <si>
    <t>6,853</t>
  </si>
  <si>
    <t>13,707</t>
  </si>
  <si>
    <t>24,845</t>
  </si>
  <si>
    <t>188902</t>
  </si>
  <si>
    <t>RIVER ROAD ISD</t>
  </si>
  <si>
    <t>5,266</t>
  </si>
  <si>
    <t>10,531</t>
  </si>
  <si>
    <t>19,552</t>
  </si>
  <si>
    <t>194903</t>
  </si>
  <si>
    <t>RIVERCREST ISD</t>
  </si>
  <si>
    <t>15,031</t>
  </si>
  <si>
    <t>27,052</t>
  </si>
  <si>
    <t>137903</t>
  </si>
  <si>
    <t>RIVIERA ISD</t>
  </si>
  <si>
    <t>6,131</t>
  </si>
  <si>
    <t>12,262</t>
  </si>
  <si>
    <t>22,436</t>
  </si>
  <si>
    <t>041902</t>
  </si>
  <si>
    <t>ROBERT LEE ISD</t>
  </si>
  <si>
    <t>6,635</t>
  </si>
  <si>
    <t>24,118</t>
  </si>
  <si>
    <t>161922</t>
  </si>
  <si>
    <t>ROBINSON ISD</t>
  </si>
  <si>
    <t>4,333</t>
  </si>
  <si>
    <t>8,667</t>
  </si>
  <si>
    <t>16,445</t>
  </si>
  <si>
    <t>178909</t>
  </si>
  <si>
    <t>ROBSTOWN ISD</t>
  </si>
  <si>
    <t>7,960</t>
  </si>
  <si>
    <t>15,920</t>
  </si>
  <si>
    <t>28,534</t>
  </si>
  <si>
    <t>076903</t>
  </si>
  <si>
    <t>ROBY CISD</t>
  </si>
  <si>
    <t>5,947</t>
  </si>
  <si>
    <t>11,894</t>
  </si>
  <si>
    <t>21,824</t>
  </si>
  <si>
    <t>160904</t>
  </si>
  <si>
    <t>ROCHELLE ISD</t>
  </si>
  <si>
    <t>6,490</t>
  </si>
  <si>
    <t>12,981</t>
  </si>
  <si>
    <t>23,635</t>
  </si>
  <si>
    <t>166904</t>
  </si>
  <si>
    <t>ROCKDALE ISD</t>
  </si>
  <si>
    <t>5,170</t>
  </si>
  <si>
    <t>10,340</t>
  </si>
  <si>
    <t>19,234</t>
  </si>
  <si>
    <t>ROCKETSHIP PUBLIC SCHOOLS</t>
  </si>
  <si>
    <t>220820</t>
  </si>
  <si>
    <t>6,506</t>
  </si>
  <si>
    <t>13,012</t>
  </si>
  <si>
    <t>23,687</t>
  </si>
  <si>
    <t>069901</t>
  </si>
  <si>
    <t>ROCKSPRINGS ISD</t>
  </si>
  <si>
    <t>7,235</t>
  </si>
  <si>
    <t>14,470</t>
  </si>
  <si>
    <t>26,116</t>
  </si>
  <si>
    <t>199901</t>
  </si>
  <si>
    <t>ROCKWALL ISD</t>
  </si>
  <si>
    <t>3,345</t>
  </si>
  <si>
    <t>6,690</t>
  </si>
  <si>
    <t>13,149</t>
  </si>
  <si>
    <t>014907</t>
  </si>
  <si>
    <t>ROGERS ISD</t>
  </si>
  <si>
    <t>22,395</t>
  </si>
  <si>
    <t>214903</t>
  </si>
  <si>
    <t>ROMA ISD</t>
  </si>
  <si>
    <t>7,254</t>
  </si>
  <si>
    <t>14,509</t>
  </si>
  <si>
    <t>26,181</t>
  </si>
  <si>
    <t>152908</t>
  </si>
  <si>
    <t>ROOSEVELT ISD</t>
  </si>
  <si>
    <t>7,434</t>
  </si>
  <si>
    <t>14,869</t>
  </si>
  <si>
    <t>26,781</t>
  </si>
  <si>
    <t>110905</t>
  </si>
  <si>
    <t>ROPES ISD</t>
  </si>
  <si>
    <t>5,532</t>
  </si>
  <si>
    <t>11,063</t>
  </si>
  <si>
    <t>20,439</t>
  </si>
  <si>
    <t>177901</t>
  </si>
  <si>
    <t>ROSCOE COLLEGIATE ISD</t>
  </si>
  <si>
    <t>5,539</t>
  </si>
  <si>
    <t>11,078</t>
  </si>
  <si>
    <t>20,463</t>
  </si>
  <si>
    <t>073905</t>
  </si>
  <si>
    <t>ROSEBUD-LOTT ISD</t>
  </si>
  <si>
    <t>6,864</t>
  </si>
  <si>
    <t>13,727</t>
  </si>
  <si>
    <t>24,879</t>
  </si>
  <si>
    <t>076904</t>
  </si>
  <si>
    <t>ROTAN ISD</t>
  </si>
  <si>
    <t>7,066</t>
  </si>
  <si>
    <t>14,132</t>
  </si>
  <si>
    <t>25,553</t>
  </si>
  <si>
    <t>246909</t>
  </si>
  <si>
    <t>ROUND ROCK ISD</t>
  </si>
  <si>
    <t>3,669</t>
  </si>
  <si>
    <t>7,338</t>
  </si>
  <si>
    <t>14,229</t>
  </si>
  <si>
    <t>075908</t>
  </si>
  <si>
    <t>ROUND TOP-CARMINE ISD</t>
  </si>
  <si>
    <t>5,101</t>
  </si>
  <si>
    <t>10,203</t>
  </si>
  <si>
    <t>19,004</t>
  </si>
  <si>
    <t>237905</t>
  </si>
  <si>
    <t>ROYAL ISD</t>
  </si>
  <si>
    <t>25,701</t>
  </si>
  <si>
    <t>015842</t>
  </si>
  <si>
    <t>ROYAL PUBLIC SCHOOLS</t>
  </si>
  <si>
    <t>6,459</t>
  </si>
  <si>
    <t>12,918</t>
  </si>
  <si>
    <t>23,530</t>
  </si>
  <si>
    <t>199902</t>
  </si>
  <si>
    <t>ROYSE CITY ISD</t>
  </si>
  <si>
    <t>3,471</t>
  </si>
  <si>
    <t>13,571</t>
  </si>
  <si>
    <t>104903</t>
  </si>
  <si>
    <t>RULE ISD</t>
  </si>
  <si>
    <t>7,144</t>
  </si>
  <si>
    <t>14,289</t>
  </si>
  <si>
    <t>25,815</t>
  </si>
  <si>
    <t>128903</t>
  </si>
  <si>
    <t>RUNGE ISD</t>
  </si>
  <si>
    <t>8,117</t>
  </si>
  <si>
    <t>16,234</t>
  </si>
  <si>
    <t>29,057</t>
  </si>
  <si>
    <t>037907</t>
  </si>
  <si>
    <t>RUSK ISD</t>
  </si>
  <si>
    <t>6,905</t>
  </si>
  <si>
    <t>13,811</t>
  </si>
  <si>
    <t>25,018</t>
  </si>
  <si>
    <t>091914</t>
  </si>
  <si>
    <t>S AND S CISD</t>
  </si>
  <si>
    <t>10,741</t>
  </si>
  <si>
    <t>19,901</t>
  </si>
  <si>
    <t>232902</t>
  </si>
  <si>
    <t>SABINAL ISD</t>
  </si>
  <si>
    <t>7,778</t>
  </si>
  <si>
    <t>15,556</t>
  </si>
  <si>
    <t>27,927</t>
  </si>
  <si>
    <t>092906</t>
  </si>
  <si>
    <t>SABINE ISD</t>
  </si>
  <si>
    <t>5,868</t>
  </si>
  <si>
    <t>11,736</t>
  </si>
  <si>
    <t>21,560</t>
  </si>
  <si>
    <t>123913</t>
  </si>
  <si>
    <t>SABINE PASS ISD</t>
  </si>
  <si>
    <t>25,008</t>
  </si>
  <si>
    <t>169911</t>
  </si>
  <si>
    <t>SAINT JO ISD</t>
  </si>
  <si>
    <t>014908</t>
  </si>
  <si>
    <t>SALADO ISD</t>
  </si>
  <si>
    <t>4,959</t>
  </si>
  <si>
    <t>9,918</t>
  </si>
  <si>
    <t>18,531</t>
  </si>
  <si>
    <t>112909</t>
  </si>
  <si>
    <t>SALTILLO ISD</t>
  </si>
  <si>
    <t>236802</t>
  </si>
  <si>
    <t>SAM HOUSTON STATE UNIVERSITY CHARTER SCHOOL</t>
  </si>
  <si>
    <t>3,671</t>
  </si>
  <si>
    <t>7,342</t>
  </si>
  <si>
    <t>074917</t>
  </si>
  <si>
    <t>SAM RAYBURN ISD</t>
  </si>
  <si>
    <t>5,703</t>
  </si>
  <si>
    <t>11,405</t>
  </si>
  <si>
    <t>21,009</t>
  </si>
  <si>
    <t>226903</t>
  </si>
  <si>
    <t>SAN ANGELO ISD</t>
  </si>
  <si>
    <t>9,895</t>
  </si>
  <si>
    <t>18,492</t>
  </si>
  <si>
    <t>015907</t>
  </si>
  <si>
    <t>SAN ANTONIO ISD</t>
  </si>
  <si>
    <t>7,162</t>
  </si>
  <si>
    <t>14,324</t>
  </si>
  <si>
    <t>25,874</t>
  </si>
  <si>
    <t>015840</t>
  </si>
  <si>
    <t>SAN ANTONIO PREPARATORY SCHOOLS</t>
  </si>
  <si>
    <t>3,000</t>
  </si>
  <si>
    <t>203901</t>
  </si>
  <si>
    <t>SAN AUGUSTINE ISD</t>
  </si>
  <si>
    <t>8,183</t>
  </si>
  <si>
    <t>16,365</t>
  </si>
  <si>
    <t>29,276</t>
  </si>
  <si>
    <t>031912</t>
  </si>
  <si>
    <t>SAN BENITO CISD</t>
  </si>
  <si>
    <t>6,130</t>
  </si>
  <si>
    <t>12,260</t>
  </si>
  <si>
    <t>22,433</t>
  </si>
  <si>
    <t>066902</t>
  </si>
  <si>
    <t>SAN DIEGO ISD</t>
  </si>
  <si>
    <t>8,011</t>
  </si>
  <si>
    <t>16,021</t>
  </si>
  <si>
    <t>28,702</t>
  </si>
  <si>
    <t>071904</t>
  </si>
  <si>
    <t>SAN ELIZARIO ISD</t>
  </si>
  <si>
    <t>7,426</t>
  </si>
  <si>
    <t>14,853</t>
  </si>
  <si>
    <t>26,754</t>
  </si>
  <si>
    <t>233901</t>
  </si>
  <si>
    <t>SAN FELIPE-DEL RIO CISD</t>
  </si>
  <si>
    <t>5,248</t>
  </si>
  <si>
    <t>10,496</t>
  </si>
  <si>
    <t>19,493</t>
  </si>
  <si>
    <t>214902</t>
  </si>
  <si>
    <t>SAN ISIDRO ISD</t>
  </si>
  <si>
    <t>8,814</t>
  </si>
  <si>
    <t>17,627</t>
  </si>
  <si>
    <t>31,379</t>
  </si>
  <si>
    <t>105902</t>
  </si>
  <si>
    <t>SAN MARCOS CISD</t>
  </si>
  <si>
    <t>245904</t>
  </si>
  <si>
    <t>SAN PERLITA ISD</t>
  </si>
  <si>
    <t>7,403</t>
  </si>
  <si>
    <t>26,677</t>
  </si>
  <si>
    <t>206901</t>
  </si>
  <si>
    <t>SAN SABA ISD</t>
  </si>
  <si>
    <t>7,399</t>
  </si>
  <si>
    <t>14,799</t>
  </si>
  <si>
    <t>26,665</t>
  </si>
  <si>
    <t>022903</t>
  </si>
  <si>
    <t>SAN VICENTE ISD</t>
  </si>
  <si>
    <t>058909</t>
  </si>
  <si>
    <t>SANDS CISD</t>
  </si>
  <si>
    <t>6,288</t>
  </si>
  <si>
    <t>12,576</t>
  </si>
  <si>
    <t>22,960</t>
  </si>
  <si>
    <t>117903</t>
  </si>
  <si>
    <t>SANFORD-FRITCH ISD</t>
  </si>
  <si>
    <t>5,887</t>
  </si>
  <si>
    <t>11,774</t>
  </si>
  <si>
    <t>21,623</t>
  </si>
  <si>
    <t>061908</t>
  </si>
  <si>
    <t>SANGER ISD</t>
  </si>
  <si>
    <t>5,534</t>
  </si>
  <si>
    <t>11,067</t>
  </si>
  <si>
    <t>20,445</t>
  </si>
  <si>
    <t>042903</t>
  </si>
  <si>
    <t>SANTA ANNA ISD</t>
  </si>
  <si>
    <t>7,413</t>
  </si>
  <si>
    <t>14,826</t>
  </si>
  <si>
    <t>26,709</t>
  </si>
  <si>
    <t>084909</t>
  </si>
  <si>
    <t>SANTA FE ISD</t>
  </si>
  <si>
    <t>4,054</t>
  </si>
  <si>
    <t>8,108</t>
  </si>
  <si>
    <t>15,514</t>
  </si>
  <si>
    <t>137904</t>
  </si>
  <si>
    <t>SANTA GERTRUDIS ISD</t>
  </si>
  <si>
    <t>5,957</t>
  </si>
  <si>
    <t>11,914</t>
  </si>
  <si>
    <t>21,857</t>
  </si>
  <si>
    <t>031913</t>
  </si>
  <si>
    <t>SANTA MARIA ISD</t>
  </si>
  <si>
    <t>8,874</t>
  </si>
  <si>
    <t>17,748</t>
  </si>
  <si>
    <t>31,580</t>
  </si>
  <si>
    <t>031914</t>
  </si>
  <si>
    <t>SANTA ROSA ISD</t>
  </si>
  <si>
    <t>8,370</t>
  </si>
  <si>
    <t>16,739</t>
  </si>
  <si>
    <t>29,899</t>
  </si>
  <si>
    <t>182904</t>
  </si>
  <si>
    <t>SANTO ISD</t>
  </si>
  <si>
    <t>5,257</t>
  </si>
  <si>
    <t>10,513</t>
  </si>
  <si>
    <t>19,522</t>
  </si>
  <si>
    <t>074911</t>
  </si>
  <si>
    <t>SAVOY ISD</t>
  </si>
  <si>
    <t>6,455</t>
  </si>
  <si>
    <t>12,910</t>
  </si>
  <si>
    <t>23,517</t>
  </si>
  <si>
    <t>094902</t>
  </si>
  <si>
    <t>SCHERTZ-CIBOLO-U CITY ISD</t>
  </si>
  <si>
    <t>3,536</t>
  </si>
  <si>
    <t>13,787</t>
  </si>
  <si>
    <t>207901</t>
  </si>
  <si>
    <t>SCHLEICHER ISD</t>
  </si>
  <si>
    <t>6,888</t>
  </si>
  <si>
    <t>13,775</t>
  </si>
  <si>
    <t>24,958</t>
  </si>
  <si>
    <t>015827</t>
  </si>
  <si>
    <t>SCHOOL OF SCIENCE AND TECHNOLOGY</t>
  </si>
  <si>
    <t>4,439</t>
  </si>
  <si>
    <t>8,878</t>
  </si>
  <si>
    <t>16,797</t>
  </si>
  <si>
    <t>015831</t>
  </si>
  <si>
    <t>SCHOOL OF SCIENCE AND TECHNOLOGY DISCOVERY</t>
  </si>
  <si>
    <t>4,836</t>
  </si>
  <si>
    <t>9,672</t>
  </si>
  <si>
    <t>18,120</t>
  </si>
  <si>
    <t>075903</t>
  </si>
  <si>
    <t>SCHULENBURG ISD</t>
  </si>
  <si>
    <t>7,453</t>
  </si>
  <si>
    <t>26,844</t>
  </si>
  <si>
    <t>129910</t>
  </si>
  <si>
    <t>SCURRY-ROSSER ISD</t>
  </si>
  <si>
    <t>5,762</t>
  </si>
  <si>
    <t>11,525</t>
  </si>
  <si>
    <t>21,208</t>
  </si>
  <si>
    <t>083901</t>
  </si>
  <si>
    <t>SEAGRAVES ISD</t>
  </si>
  <si>
    <t>14,718</t>
  </si>
  <si>
    <t>26,531</t>
  </si>
  <si>
    <t>008902</t>
  </si>
  <si>
    <t>SEALY ISD</t>
  </si>
  <si>
    <t>13,729</t>
  </si>
  <si>
    <t>24,882</t>
  </si>
  <si>
    <t>178808</t>
  </si>
  <si>
    <t>SEASHORE CHARTER SCHOOLS</t>
  </si>
  <si>
    <t>094901</t>
  </si>
  <si>
    <t>SEGUIN ISD</t>
  </si>
  <si>
    <t>5,197</t>
  </si>
  <si>
    <t>10,395</t>
  </si>
  <si>
    <t>19,325</t>
  </si>
  <si>
    <t>083903</t>
  </si>
  <si>
    <t>SEMINOLE ISD</t>
  </si>
  <si>
    <t>6,361</t>
  </si>
  <si>
    <t>12,722</t>
  </si>
  <si>
    <t>23,203</t>
  </si>
  <si>
    <t>101802</t>
  </si>
  <si>
    <t>SER-NINOS CHARTER SCHOOL</t>
  </si>
  <si>
    <t>8,285</t>
  </si>
  <si>
    <t>16,570</t>
  </si>
  <si>
    <t>29,617</t>
  </si>
  <si>
    <t>012901</t>
  </si>
  <si>
    <t>SEYMOUR ISD</t>
  </si>
  <si>
    <t>7,062</t>
  </si>
  <si>
    <t>14,125</t>
  </si>
  <si>
    <t>25,541</t>
  </si>
  <si>
    <t>152909</t>
  </si>
  <si>
    <t>SHALLOWATER ISD</t>
  </si>
  <si>
    <t>4,130</t>
  </si>
  <si>
    <t>8,259</t>
  </si>
  <si>
    <t>15,766</t>
  </si>
  <si>
    <t>242902</t>
  </si>
  <si>
    <t>SHAMROCK ISD</t>
  </si>
  <si>
    <t>6,975</t>
  </si>
  <si>
    <t>13,950</t>
  </si>
  <si>
    <t>25,249</t>
  </si>
  <si>
    <t>108911</t>
  </si>
  <si>
    <t>SHARYLAND ISD</t>
  </si>
  <si>
    <t>4,492</t>
  </si>
  <si>
    <t>8,984</t>
  </si>
  <si>
    <t>16,973</t>
  </si>
  <si>
    <t>210903</t>
  </si>
  <si>
    <t>SHELBYVILLE ISD</t>
  </si>
  <si>
    <t>6,124</t>
  </si>
  <si>
    <t>12,248</t>
  </si>
  <si>
    <t>22,413</t>
  </si>
  <si>
    <t>101924</t>
  </si>
  <si>
    <t>SHELDON ISD</t>
  </si>
  <si>
    <t>5,681</t>
  </si>
  <si>
    <t>11,363</t>
  </si>
  <si>
    <t>20,938</t>
  </si>
  <si>
    <t>204904</t>
  </si>
  <si>
    <t>SHEPHERD ISD</t>
  </si>
  <si>
    <t>7,666</t>
  </si>
  <si>
    <t>15,331</t>
  </si>
  <si>
    <t>27,552</t>
  </si>
  <si>
    <t>091906</t>
  </si>
  <si>
    <t>SHERMAN ISD</t>
  </si>
  <si>
    <t>5,611</t>
  </si>
  <si>
    <t>11,222</t>
  </si>
  <si>
    <t>20,703</t>
  </si>
  <si>
    <t>143903</t>
  </si>
  <si>
    <t>SHINER ISD</t>
  </si>
  <si>
    <t>10,335</t>
  </si>
  <si>
    <t>19,225</t>
  </si>
  <si>
    <t>047905</t>
  </si>
  <si>
    <t>SIDNEY ISD</t>
  </si>
  <si>
    <t>115902</t>
  </si>
  <si>
    <t>SIERRA BLANCA ISD</t>
  </si>
  <si>
    <t>7,730</t>
  </si>
  <si>
    <t>15,459</t>
  </si>
  <si>
    <t>27,765</t>
  </si>
  <si>
    <t>100904</t>
  </si>
  <si>
    <t>SILSBEE ISD</t>
  </si>
  <si>
    <t>7,092</t>
  </si>
  <si>
    <t>14,185</t>
  </si>
  <si>
    <t>25,642</t>
  </si>
  <si>
    <t>023902</t>
  </si>
  <si>
    <t>SILVERTON ISD</t>
  </si>
  <si>
    <t>6,493</t>
  </si>
  <si>
    <t>23,642</t>
  </si>
  <si>
    <t>019909</t>
  </si>
  <si>
    <t>SIMMS ISD</t>
  </si>
  <si>
    <t>5,869</t>
  </si>
  <si>
    <t>11,738</t>
  </si>
  <si>
    <t>21,564</t>
  </si>
  <si>
    <t>205906</t>
  </si>
  <si>
    <t>SINTON ISD</t>
  </si>
  <si>
    <t>7,334</t>
  </si>
  <si>
    <t>14,669</t>
  </si>
  <si>
    <t>26,448</t>
  </si>
  <si>
    <t>049909</t>
  </si>
  <si>
    <t>SIVELLS BEND ISD</t>
  </si>
  <si>
    <t>6,532</t>
  </si>
  <si>
    <t>13,065</t>
  </si>
  <si>
    <t>23,774</t>
  </si>
  <si>
    <t>013905</t>
  </si>
  <si>
    <t>SKIDMORE-TYNAN ISD</t>
  </si>
  <si>
    <t>152903</t>
  </si>
  <si>
    <t>SLATON ISD</t>
  </si>
  <si>
    <t>5,582</t>
  </si>
  <si>
    <t>11,165</t>
  </si>
  <si>
    <t>20,608</t>
  </si>
  <si>
    <t>249908</t>
  </si>
  <si>
    <t>SLIDELL ISD</t>
  </si>
  <si>
    <t>5,627</t>
  </si>
  <si>
    <t>11,253</t>
  </si>
  <si>
    <t>20,755</t>
  </si>
  <si>
    <t>001909</t>
  </si>
  <si>
    <t>SLOCUM ISD</t>
  </si>
  <si>
    <t>6,410</t>
  </si>
  <si>
    <t>12,821</t>
  </si>
  <si>
    <t>23,368</t>
  </si>
  <si>
    <t>011904</t>
  </si>
  <si>
    <t>SMITHVILLE ISD</t>
  </si>
  <si>
    <t>11,783</t>
  </si>
  <si>
    <t>21,639</t>
  </si>
  <si>
    <t>110906</t>
  </si>
  <si>
    <t>SMYER ISD</t>
  </si>
  <si>
    <t>6,290</t>
  </si>
  <si>
    <t>12,580</t>
  </si>
  <si>
    <t>22,967</t>
  </si>
  <si>
    <t>026903</t>
  </si>
  <si>
    <t>SNOOK ISD</t>
  </si>
  <si>
    <t>12,980</t>
  </si>
  <si>
    <t>23,633</t>
  </si>
  <si>
    <t>208902</t>
  </si>
  <si>
    <t>SNYDER ISD</t>
  </si>
  <si>
    <t>14,051</t>
  </si>
  <si>
    <t>25,418</t>
  </si>
  <si>
    <t>071909</t>
  </si>
  <si>
    <t>SOCORRO ISD</t>
  </si>
  <si>
    <t>4,514</t>
  </si>
  <si>
    <t>9,028</t>
  </si>
  <si>
    <t>17,047</t>
  </si>
  <si>
    <t>015909</t>
  </si>
  <si>
    <t>SOMERSET ISD</t>
  </si>
  <si>
    <t>7,725</t>
  </si>
  <si>
    <t>15,449</t>
  </si>
  <si>
    <t>27,748</t>
  </si>
  <si>
    <t>026902</t>
  </si>
  <si>
    <t>SOMERVILLE ISD</t>
  </si>
  <si>
    <t>7,112</t>
  </si>
  <si>
    <t>14,224</t>
  </si>
  <si>
    <t>25,707</t>
  </si>
  <si>
    <t>218901</t>
  </si>
  <si>
    <t>SONORA ISD</t>
  </si>
  <si>
    <t>12,765</t>
  </si>
  <si>
    <t>23,275</t>
  </si>
  <si>
    <t>015908</t>
  </si>
  <si>
    <t>SOUTH SAN ANTONIO ISD</t>
  </si>
  <si>
    <t>7,249</t>
  </si>
  <si>
    <t>14,498</t>
  </si>
  <si>
    <t>26,163</t>
  </si>
  <si>
    <t>031916</t>
  </si>
  <si>
    <t>SOUTH TEXAS ISD</t>
  </si>
  <si>
    <t>13,273</t>
  </si>
  <si>
    <t>24,121</t>
  </si>
  <si>
    <t>085903</t>
  </si>
  <si>
    <t>SOUTHLAND ISD</t>
  </si>
  <si>
    <t>7,250</t>
  </si>
  <si>
    <t>14,500</t>
  </si>
  <si>
    <t>26,167</t>
  </si>
  <si>
    <t>015917</t>
  </si>
  <si>
    <t>SOUTHSIDE ISD</t>
  </si>
  <si>
    <t>5,535</t>
  </si>
  <si>
    <t>11,070</t>
  </si>
  <si>
    <t>20,450</t>
  </si>
  <si>
    <t>015912</t>
  </si>
  <si>
    <t>SOUTHWEST ISD</t>
  </si>
  <si>
    <t>6,092</t>
  </si>
  <si>
    <t>12,185</t>
  </si>
  <si>
    <t>22,308</t>
  </si>
  <si>
    <t>015807</t>
  </si>
  <si>
    <t>SOUTHWEST PREPARATORY SCHOOL</t>
  </si>
  <si>
    <t>6,723</t>
  </si>
  <si>
    <t>13,446</t>
  </si>
  <si>
    <t>24,409</t>
  </si>
  <si>
    <t>101838</t>
  </si>
  <si>
    <t>SOUTHWEST SCHOOL</t>
  </si>
  <si>
    <t>7,777</t>
  </si>
  <si>
    <t>15,554</t>
  </si>
  <si>
    <t>27,923</t>
  </si>
  <si>
    <t>098904</t>
  </si>
  <si>
    <t>SPEARMAN ISD</t>
  </si>
  <si>
    <t>6,657</t>
  </si>
  <si>
    <t>13,314</t>
  </si>
  <si>
    <t>24,190</t>
  </si>
  <si>
    <t>170907</t>
  </si>
  <si>
    <t>SPLENDORA ISD</t>
  </si>
  <si>
    <t>3,964</t>
  </si>
  <si>
    <t>7,927</t>
  </si>
  <si>
    <t>15,212</t>
  </si>
  <si>
    <t>101920</t>
  </si>
  <si>
    <t>SPRING BRANCH ISD</t>
  </si>
  <si>
    <t>5,160</t>
  </si>
  <si>
    <t>10,321</t>
  </si>
  <si>
    <t>19,201</t>
  </si>
  <si>
    <t>117907</t>
  </si>
  <si>
    <t>SPRING CREEK ISD</t>
  </si>
  <si>
    <t>092907</t>
  </si>
  <si>
    <t>SPRING HILL ISD</t>
  </si>
  <si>
    <t>3,758</t>
  </si>
  <si>
    <t>7,517</t>
  </si>
  <si>
    <t>14,528</t>
  </si>
  <si>
    <t>101919</t>
  </si>
  <si>
    <t>SPRING ISD</t>
  </si>
  <si>
    <t>5,433</t>
  </si>
  <si>
    <t>10,866</t>
  </si>
  <si>
    <t>20,110</t>
  </si>
  <si>
    <t>140907</t>
  </si>
  <si>
    <t>SPRINGLAKE-EARTH ISD</t>
  </si>
  <si>
    <t>7,818</t>
  </si>
  <si>
    <t>15,636</t>
  </si>
  <si>
    <t>28,061</t>
  </si>
  <si>
    <t>184902</t>
  </si>
  <si>
    <t>SPRINGTOWN ISD</t>
  </si>
  <si>
    <t>4,249</t>
  </si>
  <si>
    <t>8,497</t>
  </si>
  <si>
    <t>16,162</t>
  </si>
  <si>
    <t>063903</t>
  </si>
  <si>
    <t>SPUR ISD</t>
  </si>
  <si>
    <t>229905</t>
  </si>
  <si>
    <t>SPURGER ISD</t>
  </si>
  <si>
    <t>6,219</t>
  </si>
  <si>
    <t>12,438</t>
  </si>
  <si>
    <t>22,731</t>
  </si>
  <si>
    <t>057836</t>
  </si>
  <si>
    <t>ST ANTHONY SCHOOL</t>
  </si>
  <si>
    <t>6,712</t>
  </si>
  <si>
    <t>13,425</t>
  </si>
  <si>
    <t>24,374</t>
  </si>
  <si>
    <t>013801</t>
  </si>
  <si>
    <t>ST MARY'S ACADEMY CHARTER SCHOOL</t>
  </si>
  <si>
    <t>5,551</t>
  </si>
  <si>
    <t>11,101</t>
  </si>
  <si>
    <t>20,502</t>
  </si>
  <si>
    <t>079910</t>
  </si>
  <si>
    <t>STAFFORD MSD</t>
  </si>
  <si>
    <t>7,090</t>
  </si>
  <si>
    <t>14,180</t>
  </si>
  <si>
    <t>25,633</t>
  </si>
  <si>
    <t>127906</t>
  </si>
  <si>
    <t>STAMFORD ISD</t>
  </si>
  <si>
    <t>7,317</t>
  </si>
  <si>
    <t>14,634</t>
  </si>
  <si>
    <t>26,390</t>
  </si>
  <si>
    <t>156902</t>
  </si>
  <si>
    <t>STANTON ISD</t>
  </si>
  <si>
    <t>6,061</t>
  </si>
  <si>
    <t>12,122</t>
  </si>
  <si>
    <t>22,204</t>
  </si>
  <si>
    <t>101859</t>
  </si>
  <si>
    <t>STEP CHARTER SCHOOL</t>
  </si>
  <si>
    <t>24,540</t>
  </si>
  <si>
    <t>174801</t>
  </si>
  <si>
    <t>STEPHEN F AUSTIN STATE UNIVERSITY CHARTER SCHOOL</t>
  </si>
  <si>
    <t>3,267</t>
  </si>
  <si>
    <t>6,534</t>
  </si>
  <si>
    <t>12,889</t>
  </si>
  <si>
    <t>072903</t>
  </si>
  <si>
    <t>STEPHENVILLE ISD</t>
  </si>
  <si>
    <t>4,404</t>
  </si>
  <si>
    <t>8,808</t>
  </si>
  <si>
    <t>16,681</t>
  </si>
  <si>
    <t>216901</t>
  </si>
  <si>
    <t>STERLING CITY ISD</t>
  </si>
  <si>
    <t>5,939</t>
  </si>
  <si>
    <t>11,878</t>
  </si>
  <si>
    <t>21,797</t>
  </si>
  <si>
    <t>247906</t>
  </si>
  <si>
    <t>STOCKDALE ISD</t>
  </si>
  <si>
    <t>5,919</t>
  </si>
  <si>
    <t>11,838</t>
  </si>
  <si>
    <t>21,730</t>
  </si>
  <si>
    <t>211902</t>
  </si>
  <si>
    <t>STRATFORD ISD</t>
  </si>
  <si>
    <t>12,660</t>
  </si>
  <si>
    <t>23,100</t>
  </si>
  <si>
    <t>182905</t>
  </si>
  <si>
    <t>STRAWN ISD</t>
  </si>
  <si>
    <t>15,036</t>
  </si>
  <si>
    <t>27,060</t>
  </si>
  <si>
    <t>140908</t>
  </si>
  <si>
    <t>SUDAN ISD</t>
  </si>
  <si>
    <t>23,555</t>
  </si>
  <si>
    <t>112910</t>
  </si>
  <si>
    <t>SULPHUR BLUFF ISD</t>
  </si>
  <si>
    <t>6,266</t>
  </si>
  <si>
    <t>12,532</t>
  </si>
  <si>
    <t>22,887</t>
  </si>
  <si>
    <t>112901</t>
  </si>
  <si>
    <t>SULPHUR SPRINGS ISD</t>
  </si>
  <si>
    <t>5,399</t>
  </si>
  <si>
    <t>10,797</t>
  </si>
  <si>
    <t>19,996</t>
  </si>
  <si>
    <t>110907</t>
  </si>
  <si>
    <t>SUNDOWN ISD</t>
  </si>
  <si>
    <t>057919</t>
  </si>
  <si>
    <t>SUNNYVALE ISD</t>
  </si>
  <si>
    <t>4,915</t>
  </si>
  <si>
    <t>9,830</t>
  </si>
  <si>
    <t>18,384</t>
  </si>
  <si>
    <t>171902</t>
  </si>
  <si>
    <t>SUNRAY COLLEGIATE ISD</t>
  </si>
  <si>
    <t>6,317</t>
  </si>
  <si>
    <t>12,634</t>
  </si>
  <si>
    <t>23,057</t>
  </si>
  <si>
    <t>020906</t>
  </si>
  <si>
    <t>SWEENY ISD</t>
  </si>
  <si>
    <t>6,041</t>
  </si>
  <si>
    <t>12,081</t>
  </si>
  <si>
    <t>22,136</t>
  </si>
  <si>
    <t>143905</t>
  </si>
  <si>
    <t>SWEET HOME ISD</t>
  </si>
  <si>
    <t>5,218</t>
  </si>
  <si>
    <t>10,436</t>
  </si>
  <si>
    <t>19,393</t>
  </si>
  <si>
    <t>177902</t>
  </si>
  <si>
    <t>SWEETWATER ISD</t>
  </si>
  <si>
    <t>7,446</t>
  </si>
  <si>
    <t>14,891</t>
  </si>
  <si>
    <t>26,818</t>
  </si>
  <si>
    <t>205907</t>
  </si>
  <si>
    <t>TAFT ISD</t>
  </si>
  <si>
    <t>15,853</t>
  </si>
  <si>
    <t>28,422</t>
  </si>
  <si>
    <t>153904</t>
  </si>
  <si>
    <t>TAHOKA ISD</t>
  </si>
  <si>
    <t>24,940</t>
  </si>
  <si>
    <t>146907</t>
  </si>
  <si>
    <t>TARKINGTON ISD</t>
  </si>
  <si>
    <t>21,451</t>
  </si>
  <si>
    <t>201910</t>
  </si>
  <si>
    <t>TATUM ISD</t>
  </si>
  <si>
    <t>6,365</t>
  </si>
  <si>
    <t>23,216</t>
  </si>
  <si>
    <t>246911</t>
  </si>
  <si>
    <t>TAYLOR ISD</t>
  </si>
  <si>
    <t>6,934</t>
  </si>
  <si>
    <t>13,869</t>
  </si>
  <si>
    <t>25,115</t>
  </si>
  <si>
    <t>081904</t>
  </si>
  <si>
    <t>TEAGUE ISD</t>
  </si>
  <si>
    <t>6,786</t>
  </si>
  <si>
    <t>13,573</t>
  </si>
  <si>
    <t>24,621</t>
  </si>
  <si>
    <t>123803</t>
  </si>
  <si>
    <t>TEKOA ACADEMY OF ACCELERATED STUDIES STEM SCHOOL</t>
  </si>
  <si>
    <t>6,983</t>
  </si>
  <si>
    <t>13,965</t>
  </si>
  <si>
    <t>25,276</t>
  </si>
  <si>
    <t>014909</t>
  </si>
  <si>
    <t>TEMPLE ISD</t>
  </si>
  <si>
    <t>210904</t>
  </si>
  <si>
    <t>TENAHA ISD</t>
  </si>
  <si>
    <t>8,536</t>
  </si>
  <si>
    <t>17,073</t>
  </si>
  <si>
    <t>30,455</t>
  </si>
  <si>
    <t>022004</t>
  </si>
  <si>
    <t>TERLINGUA CSD</t>
  </si>
  <si>
    <t>13,810</t>
  </si>
  <si>
    <t>25,017</t>
  </si>
  <si>
    <t>222901</t>
  </si>
  <si>
    <t>TERRELL COUNTY ISD</t>
  </si>
  <si>
    <t>12,184</t>
  </si>
  <si>
    <t>22,307</t>
  </si>
  <si>
    <t>129906</t>
  </si>
  <si>
    <t>TERRELL ISD</t>
  </si>
  <si>
    <t>057804</t>
  </si>
  <si>
    <t>TEXANS CAN ACADEMIES</t>
  </si>
  <si>
    <t>23,970</t>
  </si>
  <si>
    <t>019907</t>
  </si>
  <si>
    <t>TEXARKANA ISD</t>
  </si>
  <si>
    <t>6,152</t>
  </si>
  <si>
    <t>12,304</t>
  </si>
  <si>
    <t>22,506</t>
  </si>
  <si>
    <t>084906</t>
  </si>
  <si>
    <t>TEXAS CITY ISD</t>
  </si>
  <si>
    <t>6,008</t>
  </si>
  <si>
    <t>12,017</t>
  </si>
  <si>
    <t>22,028</t>
  </si>
  <si>
    <t>221801</t>
  </si>
  <si>
    <t>TEXAS COLLEGE PREPARATORY ACADEMIES</t>
  </si>
  <si>
    <t>8,062</t>
  </si>
  <si>
    <t>15,436</t>
  </si>
  <si>
    <t>227805</t>
  </si>
  <si>
    <t>TEXAS EMPOWERMENT ACADEMY</t>
  </si>
  <si>
    <t>10,648</t>
  </si>
  <si>
    <t>19,747</t>
  </si>
  <si>
    <t>226801</t>
  </si>
  <si>
    <t>TEXAS LEADERSHIP PUBLIC SCHOOLS</t>
  </si>
  <si>
    <t>4,513</t>
  </si>
  <si>
    <t>9,026</t>
  </si>
  <si>
    <t>17,043</t>
  </si>
  <si>
    <t>105802</t>
  </si>
  <si>
    <t>TEXAS PREPARATORY SCHOOL</t>
  </si>
  <si>
    <t>4,335</t>
  </si>
  <si>
    <t>8,669</t>
  </si>
  <si>
    <t>16,449</t>
  </si>
  <si>
    <t>227905</t>
  </si>
  <si>
    <t>TEXAS SCH FOR THE BLIND &amp; VISUALLY IMPAIRED</t>
  </si>
  <si>
    <t>4,818</t>
  </si>
  <si>
    <t>9,637</t>
  </si>
  <si>
    <t>18,061</t>
  </si>
  <si>
    <t>227906</t>
  </si>
  <si>
    <t>TEXAS SCH FOR THE DEAF</t>
  </si>
  <si>
    <t>4,692</t>
  </si>
  <si>
    <t>9,384</t>
  </si>
  <si>
    <t>17,640</t>
  </si>
  <si>
    <t>220814</t>
  </si>
  <si>
    <t>TEXAS SCHOOL OF THE ARTS</t>
  </si>
  <si>
    <t>3,142</t>
  </si>
  <si>
    <t>6,285</t>
  </si>
  <si>
    <t>12,475</t>
  </si>
  <si>
    <t>170801</t>
  </si>
  <si>
    <t>TEXAS SERENITY ACADEMY</t>
  </si>
  <si>
    <t>152504</t>
  </si>
  <si>
    <t>TEXAS TECH UNIVERSITY K-12</t>
  </si>
  <si>
    <t>3,065</t>
  </si>
  <si>
    <t>12,216</t>
  </si>
  <si>
    <t>211901</t>
  </si>
  <si>
    <t>TEXHOMA ISD</t>
  </si>
  <si>
    <t>13,254</t>
  </si>
  <si>
    <t>24,090</t>
  </si>
  <si>
    <t>056902</t>
  </si>
  <si>
    <t>TEXLINE ISD</t>
  </si>
  <si>
    <t>6,342</t>
  </si>
  <si>
    <t>12,685</t>
  </si>
  <si>
    <t>23,142</t>
  </si>
  <si>
    <t>227827</t>
  </si>
  <si>
    <t>THE EXCEL CENTER (FOR ADULTS)</t>
  </si>
  <si>
    <t>6,299</t>
  </si>
  <si>
    <t>12,598</t>
  </si>
  <si>
    <t>22,997</t>
  </si>
  <si>
    <t>015841</t>
  </si>
  <si>
    <t>THE GATHERING PLACE</t>
  </si>
  <si>
    <t>5,268</t>
  </si>
  <si>
    <t>10,535</t>
  </si>
  <si>
    <t>19,559</t>
  </si>
  <si>
    <t>101864</t>
  </si>
  <si>
    <t>THE LAWSON ACADEMY</t>
  </si>
  <si>
    <t>6,565</t>
  </si>
  <si>
    <t>13,130</t>
  </si>
  <si>
    <t>23,883</t>
  </si>
  <si>
    <t>101868</t>
  </si>
  <si>
    <t>THE PRO-VISION ACADEMY</t>
  </si>
  <si>
    <t>7,673</t>
  </si>
  <si>
    <t>101861</t>
  </si>
  <si>
    <t>THE RHODES SCHOOL FOR PERFORMING ARTS</t>
  </si>
  <si>
    <t>6,228</t>
  </si>
  <si>
    <t>12,455</t>
  </si>
  <si>
    <t>22,759</t>
  </si>
  <si>
    <t>101814</t>
  </si>
  <si>
    <t>THE VARNETT PUBLIC SCHOOL</t>
  </si>
  <si>
    <t>27,099</t>
  </si>
  <si>
    <t>166905</t>
  </si>
  <si>
    <t>THORNDALE ISD</t>
  </si>
  <si>
    <t>6,179</t>
  </si>
  <si>
    <t>12,357</t>
  </si>
  <si>
    <t>22,596</t>
  </si>
  <si>
    <t>246912</t>
  </si>
  <si>
    <t>THRALL ISD</t>
  </si>
  <si>
    <t>11,485</t>
  </si>
  <si>
    <t>21,142</t>
  </si>
  <si>
    <t>149902</t>
  </si>
  <si>
    <t>THREE RIVERS ISD</t>
  </si>
  <si>
    <t>7,352</t>
  </si>
  <si>
    <t>14,704</t>
  </si>
  <si>
    <t>26,506</t>
  </si>
  <si>
    <t>072901</t>
  </si>
  <si>
    <t>THREE WAY ISD</t>
  </si>
  <si>
    <t>6,293</t>
  </si>
  <si>
    <t>12,585</t>
  </si>
  <si>
    <t>22,976</t>
  </si>
  <si>
    <t>THRIVE CENTER FOR SUCCESS</t>
  </si>
  <si>
    <t>170802</t>
  </si>
  <si>
    <t>3,240</t>
  </si>
  <si>
    <t>6,480</t>
  </si>
  <si>
    <t>12,800</t>
  </si>
  <si>
    <t>224901</t>
  </si>
  <si>
    <t>THROCKMORTON COLLEGIATE ISD</t>
  </si>
  <si>
    <t>7,091</t>
  </si>
  <si>
    <t>14,182</t>
  </si>
  <si>
    <t>25,636</t>
  </si>
  <si>
    <t>158902</t>
  </si>
  <si>
    <t>TIDEHAVEN ISD</t>
  </si>
  <si>
    <t>6,718</t>
  </si>
  <si>
    <t>13,436</t>
  </si>
  <si>
    <t>24,393</t>
  </si>
  <si>
    <t>210905</t>
  </si>
  <si>
    <t>TIMPSON ISD</t>
  </si>
  <si>
    <t>7,409</t>
  </si>
  <si>
    <t>14,817</t>
  </si>
  <si>
    <t>26,695</t>
  </si>
  <si>
    <t>091907</t>
  </si>
  <si>
    <t>TIOGA ISD</t>
  </si>
  <si>
    <t>111903</t>
  </si>
  <si>
    <t>TOLAR ISD</t>
  </si>
  <si>
    <t>5,525</t>
  </si>
  <si>
    <t>11,050</t>
  </si>
  <si>
    <t>20,417</t>
  </si>
  <si>
    <t>091918</t>
  </si>
  <si>
    <t>TOM BEAN ISD</t>
  </si>
  <si>
    <t>5,540</t>
  </si>
  <si>
    <t>11,080</t>
  </si>
  <si>
    <t>20,466</t>
  </si>
  <si>
    <t>101921</t>
  </si>
  <si>
    <t>TOMBALL ISD</t>
  </si>
  <si>
    <t>6,866</t>
  </si>
  <si>
    <t>13,443</t>
  </si>
  <si>
    <t>071908</t>
  </si>
  <si>
    <t>TORNILLO ISD</t>
  </si>
  <si>
    <t>8,610</t>
  </si>
  <si>
    <t>17,219</t>
  </si>
  <si>
    <t>30,698</t>
  </si>
  <si>
    <t>220801</t>
  </si>
  <si>
    <t>TREETOPS SCHOOL INTERNATIONAL</t>
  </si>
  <si>
    <t>3,186</t>
  </si>
  <si>
    <t>12,620</t>
  </si>
  <si>
    <t>221905</t>
  </si>
  <si>
    <t>TRENT ISD</t>
  </si>
  <si>
    <t>6,809</t>
  </si>
  <si>
    <t>13,617</t>
  </si>
  <si>
    <t>24,695</t>
  </si>
  <si>
    <t>074912</t>
  </si>
  <si>
    <t>TRENTON ISD</t>
  </si>
  <si>
    <t>5,741</t>
  </si>
  <si>
    <t>11,481</t>
  </si>
  <si>
    <t>21,136</t>
  </si>
  <si>
    <t>107907</t>
  </si>
  <si>
    <t>TRINIDAD ISD</t>
  </si>
  <si>
    <t>6,939</t>
  </si>
  <si>
    <t>13,877</t>
  </si>
  <si>
    <t>25,129</t>
  </si>
  <si>
    <t>057813</t>
  </si>
  <si>
    <t>TRINITY BASIN PREPARATORY</t>
  </si>
  <si>
    <t>5,981</t>
  </si>
  <si>
    <t>11,963</t>
  </si>
  <si>
    <t>21,938</t>
  </si>
  <si>
    <t>046802</t>
  </si>
  <si>
    <t>TRINITY CHARTER SCHOOL</t>
  </si>
  <si>
    <t>8,390</t>
  </si>
  <si>
    <t>16,781</t>
  </si>
  <si>
    <t>29,968</t>
  </si>
  <si>
    <t>228903</t>
  </si>
  <si>
    <t>TRINITY ISD</t>
  </si>
  <si>
    <t>7,968</t>
  </si>
  <si>
    <t>15,936</t>
  </si>
  <si>
    <t>28,561</t>
  </si>
  <si>
    <t>071803</t>
  </si>
  <si>
    <t>TRIUMPH PUBLIC HIGH SCHOOLS-EL PASO</t>
  </si>
  <si>
    <t>6,482</t>
  </si>
  <si>
    <t>12,965</t>
  </si>
  <si>
    <t>23,608</t>
  </si>
  <si>
    <t>240801</t>
  </si>
  <si>
    <t>TRIUMPH PUBLIC HIGH SCHOOLS-LAREDO</t>
  </si>
  <si>
    <t>152803</t>
  </si>
  <si>
    <t>TRIUMPH PUBLIC HIGH SCHOOLS-LUBBOCK</t>
  </si>
  <si>
    <t>7,166</t>
  </si>
  <si>
    <t>14,332</t>
  </si>
  <si>
    <t>25,887</t>
  </si>
  <si>
    <t>108804</t>
  </si>
  <si>
    <t>TRIUMPH PUBLIC HIGH SCHOOLS-RIO GRANDE VALLEY</t>
  </si>
  <si>
    <t>6,901</t>
  </si>
  <si>
    <t>13,803</t>
  </si>
  <si>
    <t>25,004</t>
  </si>
  <si>
    <t>061805</t>
  </si>
  <si>
    <t>TRIVIUM ACADEMY</t>
  </si>
  <si>
    <t>3,057</t>
  </si>
  <si>
    <t>6,114</t>
  </si>
  <si>
    <t>12,191</t>
  </si>
  <si>
    <t>212904</t>
  </si>
  <si>
    <t>TROUP ISD</t>
  </si>
  <si>
    <t>12,545</t>
  </si>
  <si>
    <t>22,908</t>
  </si>
  <si>
    <t>014910</t>
  </si>
  <si>
    <t>TROY ISD</t>
  </si>
  <si>
    <t>12,239</t>
  </si>
  <si>
    <t>22,398</t>
  </si>
  <si>
    <t>219903</t>
  </si>
  <si>
    <t>TULIA ISD</t>
  </si>
  <si>
    <t>8,228</t>
  </si>
  <si>
    <t>16,456</t>
  </si>
  <si>
    <t>29,427</t>
  </si>
  <si>
    <t>178912</t>
  </si>
  <si>
    <t>TULOSO-MIDWAY ISD</t>
  </si>
  <si>
    <t>4,699</t>
  </si>
  <si>
    <t>9,398</t>
  </si>
  <si>
    <t>17,663</t>
  </si>
  <si>
    <t>096905</t>
  </si>
  <si>
    <t>TURKEY-QUITAQUE ISD</t>
  </si>
  <si>
    <t>6,103</t>
  </si>
  <si>
    <t>12,206</t>
  </si>
  <si>
    <t>22,343</t>
  </si>
  <si>
    <t>101840</t>
  </si>
  <si>
    <t>TWO DIMENSIONS PREPARATORY ACADEMY</t>
  </si>
  <si>
    <t>7,430</t>
  </si>
  <si>
    <t>14,859</t>
  </si>
  <si>
    <t>26,765</t>
  </si>
  <si>
    <t>212905</t>
  </si>
  <si>
    <t>TYLER ISD</t>
  </si>
  <si>
    <t>5,479</t>
  </si>
  <si>
    <t>10,959</t>
  </si>
  <si>
    <t>20,264</t>
  </si>
  <si>
    <t>057845</t>
  </si>
  <si>
    <t>UME PREPARATORY ACADEMY</t>
  </si>
  <si>
    <t>6,025</t>
  </si>
  <si>
    <t>12,049</t>
  </si>
  <si>
    <t>22,082</t>
  </si>
  <si>
    <t>230908</t>
  </si>
  <si>
    <t>UNION GROVE ISD</t>
  </si>
  <si>
    <t>5,864</t>
  </si>
  <si>
    <t>11,728</t>
  </si>
  <si>
    <t>21,547</t>
  </si>
  <si>
    <t>230904</t>
  </si>
  <si>
    <t>UNION HILL ISD</t>
  </si>
  <si>
    <t>240903</t>
  </si>
  <si>
    <t>UNITED ISD</t>
  </si>
  <si>
    <t>5,225</t>
  </si>
  <si>
    <t>10,450</t>
  </si>
  <si>
    <t>19,417</t>
  </si>
  <si>
    <t>057808</t>
  </si>
  <si>
    <t>UNIVERSAL ACADEMY</t>
  </si>
  <si>
    <t>4,092</t>
  </si>
  <si>
    <t>8,184</t>
  </si>
  <si>
    <t>15,640</t>
  </si>
  <si>
    <t>227506</t>
  </si>
  <si>
    <t>UNIVERSITY OF TEXAS AT AUSTIN H S</t>
  </si>
  <si>
    <t>3,582</t>
  </si>
  <si>
    <t>7,163</t>
  </si>
  <si>
    <t>13,939</t>
  </si>
  <si>
    <t>227819</t>
  </si>
  <si>
    <t>UNIVERSITY OF TEXAS ELEMENTARY CHARTER SCHOOL</t>
  </si>
  <si>
    <t>8,877</t>
  </si>
  <si>
    <t>16,795</t>
  </si>
  <si>
    <t>227806</t>
  </si>
  <si>
    <t>UNIVERSITY OF TEXAS UNIVERSITY CHARTER SCHOOL</t>
  </si>
  <si>
    <t>6,085</t>
  </si>
  <si>
    <t>12,169</t>
  </si>
  <si>
    <t>22,282</t>
  </si>
  <si>
    <t>057803</t>
  </si>
  <si>
    <t>UPLIFT EDUCATION</t>
  </si>
  <si>
    <t>6,133</t>
  </si>
  <si>
    <t>12,265</t>
  </si>
  <si>
    <t>22,442</t>
  </si>
  <si>
    <t>212804</t>
  </si>
  <si>
    <t>UT TYLER UNIVERSITY ACADEMY</t>
  </si>
  <si>
    <t>3,917</t>
  </si>
  <si>
    <t>7,833</t>
  </si>
  <si>
    <t>15,055</t>
  </si>
  <si>
    <t>232904</t>
  </si>
  <si>
    <t>UTOPIA ISD</t>
  </si>
  <si>
    <t>232903</t>
  </si>
  <si>
    <t>UVALDE CISD</t>
  </si>
  <si>
    <t>7,979</t>
  </si>
  <si>
    <t>15,958</t>
  </si>
  <si>
    <t>28,596</t>
  </si>
  <si>
    <t>122902</t>
  </si>
  <si>
    <t>VALENTINE ISD</t>
  </si>
  <si>
    <t>7,018</t>
  </si>
  <si>
    <t>14,036</t>
  </si>
  <si>
    <t>25,393</t>
  </si>
  <si>
    <t>227824</t>
  </si>
  <si>
    <t>VALERE PUBLIC SCHOOLS</t>
  </si>
  <si>
    <t>6,312</t>
  </si>
  <si>
    <t>12,625</t>
  </si>
  <si>
    <t>23,041</t>
  </si>
  <si>
    <t>018904</t>
  </si>
  <si>
    <t>VALLEY MILLS ISD</t>
  </si>
  <si>
    <t>5,912</t>
  </si>
  <si>
    <t>11,824</t>
  </si>
  <si>
    <t>21,706</t>
  </si>
  <si>
    <t>049903</t>
  </si>
  <si>
    <t>VALLEY VIEW ISD</t>
  </si>
  <si>
    <t>5,667</t>
  </si>
  <si>
    <t>11,333</t>
  </si>
  <si>
    <t>20,889</t>
  </si>
  <si>
    <t>108916</t>
  </si>
  <si>
    <t>6,287</t>
  </si>
  <si>
    <t>12,574</t>
  </si>
  <si>
    <t>22,957</t>
  </si>
  <si>
    <t>227829</t>
  </si>
  <si>
    <t>VALOR PUBLIC SCHOOLS</t>
  </si>
  <si>
    <t>3,367</t>
  </si>
  <si>
    <t>6,735</t>
  </si>
  <si>
    <t>13,224</t>
  </si>
  <si>
    <t>091908</t>
  </si>
  <si>
    <t>VAN ALSTYNE ISD</t>
  </si>
  <si>
    <t>5,005</t>
  </si>
  <si>
    <t>10,010</t>
  </si>
  <si>
    <t>18,683</t>
  </si>
  <si>
    <t>234906</t>
  </si>
  <si>
    <t>VAN ISD</t>
  </si>
  <si>
    <t>4,942</t>
  </si>
  <si>
    <t>9,884</t>
  </si>
  <si>
    <t>18,473</t>
  </si>
  <si>
    <t>158906</t>
  </si>
  <si>
    <t>VAN VLECK ISD</t>
  </si>
  <si>
    <t>12,723</t>
  </si>
  <si>
    <t>23,204</t>
  </si>
  <si>
    <t>108808</t>
  </si>
  <si>
    <t>VANGUARD ACADEMY</t>
  </si>
  <si>
    <t>5,977</t>
  </si>
  <si>
    <t>11,953</t>
  </si>
  <si>
    <t>21,922</t>
  </si>
  <si>
    <t>180902</t>
  </si>
  <si>
    <t>VEGA ISD</t>
  </si>
  <si>
    <t>10,758</t>
  </si>
  <si>
    <t>19,931</t>
  </si>
  <si>
    <t>126908</t>
  </si>
  <si>
    <t>VENUS ISD</t>
  </si>
  <si>
    <t>4,579</t>
  </si>
  <si>
    <t>9,157</t>
  </si>
  <si>
    <t>17,262</t>
  </si>
  <si>
    <t>226908</t>
  </si>
  <si>
    <t>VERIBEST ISD</t>
  </si>
  <si>
    <t>5,916</t>
  </si>
  <si>
    <t>11,832</t>
  </si>
  <si>
    <t>21,720</t>
  </si>
  <si>
    <t>244903</t>
  </si>
  <si>
    <t>VERNON ISD</t>
  </si>
  <si>
    <t>7,681</t>
  </si>
  <si>
    <t>15,361</t>
  </si>
  <si>
    <t>27,602</t>
  </si>
  <si>
    <t>235902</t>
  </si>
  <si>
    <t>VICTORIA ISD</t>
  </si>
  <si>
    <t>5,357</t>
  </si>
  <si>
    <t>10,715</t>
  </si>
  <si>
    <t>19,858</t>
  </si>
  <si>
    <t>181907</t>
  </si>
  <si>
    <t>VIDOR ISD</t>
  </si>
  <si>
    <t>4,525</t>
  </si>
  <si>
    <t>9,049</t>
  </si>
  <si>
    <t>17,082</t>
  </si>
  <si>
    <t>057847</t>
  </si>
  <si>
    <t>VILLAGE TECH SCHOOLS</t>
  </si>
  <si>
    <t>4,506</t>
  </si>
  <si>
    <t>9,011</t>
  </si>
  <si>
    <t>17,019</t>
  </si>
  <si>
    <t>071809</t>
  </si>
  <si>
    <t>VISTA DEL FUTURO CHARTER SCHOOL</t>
  </si>
  <si>
    <t>143904</t>
  </si>
  <si>
    <t>VYSEHRAD ISD</t>
  </si>
  <si>
    <t>6,425</t>
  </si>
  <si>
    <t>12,851</t>
  </si>
  <si>
    <t>23,418</t>
  </si>
  <si>
    <t>161801</t>
  </si>
  <si>
    <t>WACO CHARTER SCHOOL</t>
  </si>
  <si>
    <t>161914</t>
  </si>
  <si>
    <t>WACO ISD</t>
  </si>
  <si>
    <t>089905</t>
  </si>
  <si>
    <t>WAELDER ISD</t>
  </si>
  <si>
    <t>8,434</t>
  </si>
  <si>
    <t>16,869</t>
  </si>
  <si>
    <t>30,114</t>
  </si>
  <si>
    <t>059902</t>
  </si>
  <si>
    <t>WALCOTT ISD</t>
  </si>
  <si>
    <t>6,543</t>
  </si>
  <si>
    <t>13,085</t>
  </si>
  <si>
    <t>23,809</t>
  </si>
  <si>
    <t>226906</t>
  </si>
  <si>
    <t>WALL ISD</t>
  </si>
  <si>
    <t>4,935</t>
  </si>
  <si>
    <t>9,870</t>
  </si>
  <si>
    <t>18,449</t>
  </si>
  <si>
    <t>237904</t>
  </si>
  <si>
    <t>WALLER ISD</t>
  </si>
  <si>
    <t>4,398</t>
  </si>
  <si>
    <t>8,796</t>
  </si>
  <si>
    <t>16,660</t>
  </si>
  <si>
    <t>049908</t>
  </si>
  <si>
    <t>WALNUT BEND ISD</t>
  </si>
  <si>
    <t>7,225</t>
  </si>
  <si>
    <t>14,451</t>
  </si>
  <si>
    <t>26,085</t>
  </si>
  <si>
    <t>018905</t>
  </si>
  <si>
    <t>WALNUT SPRINGS ISD</t>
  </si>
  <si>
    <t>8,080</t>
  </si>
  <si>
    <t>16,160</t>
  </si>
  <si>
    <t>28,933</t>
  </si>
  <si>
    <t>229904</t>
  </si>
  <si>
    <t>WARREN ISD</t>
  </si>
  <si>
    <t>6,699</t>
  </si>
  <si>
    <t>13,397</t>
  </si>
  <si>
    <t>24,329</t>
  </si>
  <si>
    <t>102903</t>
  </si>
  <si>
    <t>WASKOM ISD</t>
  </si>
  <si>
    <t>13,720</t>
  </si>
  <si>
    <t>24,866</t>
  </si>
  <si>
    <t>226905</t>
  </si>
  <si>
    <t>WATER VALLEY ISD</t>
  </si>
  <si>
    <t>5,386</t>
  </si>
  <si>
    <t>10,773</t>
  </si>
  <si>
    <t>19,955</t>
  </si>
  <si>
    <t>070801</t>
  </si>
  <si>
    <t>WAXAHACHIE FAITH FAMILY ACADEMY</t>
  </si>
  <si>
    <t>7,389</t>
  </si>
  <si>
    <t>14,778</t>
  </si>
  <si>
    <t>26,630</t>
  </si>
  <si>
    <t>070912</t>
  </si>
  <si>
    <t>WAXAHACHIE ISD</t>
  </si>
  <si>
    <t>4,169</t>
  </si>
  <si>
    <t>8,339</t>
  </si>
  <si>
    <t>15,898</t>
  </si>
  <si>
    <t>227803</t>
  </si>
  <si>
    <t>WAYSIDE SCHOOLS</t>
  </si>
  <si>
    <t>5,499</t>
  </si>
  <si>
    <t>10,997</t>
  </si>
  <si>
    <t>20,329</t>
  </si>
  <si>
    <t>184903</t>
  </si>
  <si>
    <t>WEATHERFORD ISD</t>
  </si>
  <si>
    <t>3,844</t>
  </si>
  <si>
    <t>7,688</t>
  </si>
  <si>
    <t>14,813</t>
  </si>
  <si>
    <t>240904</t>
  </si>
  <si>
    <t>WEBB CISD</t>
  </si>
  <si>
    <t>7,921</t>
  </si>
  <si>
    <t>15,841</t>
  </si>
  <si>
    <t>28,402</t>
  </si>
  <si>
    <t>045905</t>
  </si>
  <si>
    <t>WEIMAR ISD</t>
  </si>
  <si>
    <t>044902</t>
  </si>
  <si>
    <t>WELLINGTON ISD</t>
  </si>
  <si>
    <t>6,942</t>
  </si>
  <si>
    <t>13,884</t>
  </si>
  <si>
    <t>25,140</t>
  </si>
  <si>
    <t>223904</t>
  </si>
  <si>
    <t>WELLMAN-UNION CISD</t>
  </si>
  <si>
    <t>6,154</t>
  </si>
  <si>
    <t>12,307</t>
  </si>
  <si>
    <t>22,512</t>
  </si>
  <si>
    <t>037909</t>
  </si>
  <si>
    <t>WELLS ISD</t>
  </si>
  <si>
    <t>108913</t>
  </si>
  <si>
    <t>WESLACO ISD</t>
  </si>
  <si>
    <t>5,994</t>
  </si>
  <si>
    <t>11,989</t>
  </si>
  <si>
    <t>21,981</t>
  </si>
  <si>
    <t>100908</t>
  </si>
  <si>
    <t>WEST HARDIN COUNTY CISD</t>
  </si>
  <si>
    <t>13,471</t>
  </si>
  <si>
    <t>24,452</t>
  </si>
  <si>
    <t>161916</t>
  </si>
  <si>
    <t>WEST ISD</t>
  </si>
  <si>
    <t>11,210</t>
  </si>
  <si>
    <t>20,683</t>
  </si>
  <si>
    <t>181906</t>
  </si>
  <si>
    <t>WEST ORANGE-COVE CISD</t>
  </si>
  <si>
    <t>8,293</t>
  </si>
  <si>
    <t>16,586</t>
  </si>
  <si>
    <t>29,644</t>
  </si>
  <si>
    <t>178915</t>
  </si>
  <si>
    <t>WEST OSO ISD</t>
  </si>
  <si>
    <t>7,373</t>
  </si>
  <si>
    <t>14,747</t>
  </si>
  <si>
    <t>26,578</t>
  </si>
  <si>
    <t>201914</t>
  </si>
  <si>
    <t>WEST RUSK COUNTY CONSOLIDATED ISD</t>
  </si>
  <si>
    <t>25,491</t>
  </si>
  <si>
    <t>202905</t>
  </si>
  <si>
    <t>WEST SABINE ISD</t>
  </si>
  <si>
    <t>6,806</t>
  </si>
  <si>
    <t>13,612</t>
  </si>
  <si>
    <t>24,687</t>
  </si>
  <si>
    <t>168903</t>
  </si>
  <si>
    <t>WESTBROOK ISD</t>
  </si>
  <si>
    <t>5,793</t>
  </si>
  <si>
    <t>11,585</t>
  </si>
  <si>
    <t>21,309</t>
  </si>
  <si>
    <t>062905</t>
  </si>
  <si>
    <t>WESTHOFF ISD</t>
  </si>
  <si>
    <t>6,457</t>
  </si>
  <si>
    <t>12,915</t>
  </si>
  <si>
    <t>23,524</t>
  </si>
  <si>
    <t>220810</t>
  </si>
  <si>
    <t>WESTLAKE ACADEMY CHARTER SCHOOL</t>
  </si>
  <si>
    <t>4,531</t>
  </si>
  <si>
    <t>9,062</t>
  </si>
  <si>
    <t>17,103</t>
  </si>
  <si>
    <t>073904</t>
  </si>
  <si>
    <t>WESTPHALIA ISD</t>
  </si>
  <si>
    <t>5,000</t>
  </si>
  <si>
    <t>10,000</t>
  </si>
  <si>
    <t>18,667</t>
  </si>
  <si>
    <t>001908</t>
  </si>
  <si>
    <t>WESTWOOD ISD</t>
  </si>
  <si>
    <t>7,247</t>
  </si>
  <si>
    <t>14,493</t>
  </si>
  <si>
    <t>26,155</t>
  </si>
  <si>
    <t>241904</t>
  </si>
  <si>
    <t>WHARTON ISD</t>
  </si>
  <si>
    <t>7,423</t>
  </si>
  <si>
    <t>14,845</t>
  </si>
  <si>
    <t>26,742</t>
  </si>
  <si>
    <t>242903</t>
  </si>
  <si>
    <t>WHEELER ISD</t>
  </si>
  <si>
    <t>7,096</t>
  </si>
  <si>
    <t>14,192</t>
  </si>
  <si>
    <t>25,654</t>
  </si>
  <si>
    <t>033904</t>
  </si>
  <si>
    <t>WHITE DEER ISD</t>
  </si>
  <si>
    <t>6,169</t>
  </si>
  <si>
    <t>22,563</t>
  </si>
  <si>
    <t>092908</t>
  </si>
  <si>
    <t>WHITE OAK ISD</t>
  </si>
  <si>
    <t>4,003</t>
  </si>
  <si>
    <t>15,344</t>
  </si>
  <si>
    <t>220920</t>
  </si>
  <si>
    <t>WHITE SETTLEMENT ISD</t>
  </si>
  <si>
    <t>4,542</t>
  </si>
  <si>
    <t>9,083</t>
  </si>
  <si>
    <t>17,139</t>
  </si>
  <si>
    <t>040902</t>
  </si>
  <si>
    <t>WHITEFACE CISD</t>
  </si>
  <si>
    <t>6,820</t>
  </si>
  <si>
    <t>13,640</t>
  </si>
  <si>
    <t>24,734</t>
  </si>
  <si>
    <t>212906</t>
  </si>
  <si>
    <t>WHITEHOUSE ISD</t>
  </si>
  <si>
    <t>4,051</t>
  </si>
  <si>
    <t>8,103</t>
  </si>
  <si>
    <t>15,505</t>
  </si>
  <si>
    <t>091909</t>
  </si>
  <si>
    <t>WHITESBORO ISD</t>
  </si>
  <si>
    <t>4,600</t>
  </si>
  <si>
    <t>9,200</t>
  </si>
  <si>
    <t>17,333</t>
  </si>
  <si>
    <t>091910</t>
  </si>
  <si>
    <t>WHITEWRIGHT ISD</t>
  </si>
  <si>
    <t>5,886</t>
  </si>
  <si>
    <t>11,772</t>
  </si>
  <si>
    <t>21,620</t>
  </si>
  <si>
    <t>110908</t>
  </si>
  <si>
    <t>WHITHARRAL ISD</t>
  </si>
  <si>
    <t>5,938</t>
  </si>
  <si>
    <t>11,876</t>
  </si>
  <si>
    <t>21,794</t>
  </si>
  <si>
    <t>109911</t>
  </si>
  <si>
    <t>WHITNEY ISD</t>
  </si>
  <si>
    <t>13,685</t>
  </si>
  <si>
    <t>24,808</t>
  </si>
  <si>
    <t>243905</t>
  </si>
  <si>
    <t>WICHITA FALLS ISD</t>
  </si>
  <si>
    <t>11,239</t>
  </si>
  <si>
    <t>180904</t>
  </si>
  <si>
    <t>WILDORADO ISD</t>
  </si>
  <si>
    <t>5,180</t>
  </si>
  <si>
    <t>10,360</t>
  </si>
  <si>
    <t>19,266</t>
  </si>
  <si>
    <t>170904</t>
  </si>
  <si>
    <t>WILLIS ISD</t>
  </si>
  <si>
    <t>4,175</t>
  </si>
  <si>
    <t>15,917</t>
  </si>
  <si>
    <t>234907</t>
  </si>
  <si>
    <t>WILLS POINT ISD</t>
  </si>
  <si>
    <t>4,641</t>
  </si>
  <si>
    <t>17,471</t>
  </si>
  <si>
    <t>153907</t>
  </si>
  <si>
    <t>WILSON ISD</t>
  </si>
  <si>
    <t>6,916</t>
  </si>
  <si>
    <t>13,832</t>
  </si>
  <si>
    <t>25,053</t>
  </si>
  <si>
    <t>105905</t>
  </si>
  <si>
    <t>WIMBERLEY ISD</t>
  </si>
  <si>
    <t>9,910</t>
  </si>
  <si>
    <t>18,517</t>
  </si>
  <si>
    <t>005904</t>
  </si>
  <si>
    <t>WINDTHORST ISD</t>
  </si>
  <si>
    <t>11,803</t>
  </si>
  <si>
    <t>21,672</t>
  </si>
  <si>
    <t>057828</t>
  </si>
  <si>
    <t>WINFREE ACADEMY CHARTER SCHOOLS</t>
  </si>
  <si>
    <t>248902</t>
  </si>
  <si>
    <t>WINK-LOVING ISD</t>
  </si>
  <si>
    <t>5,365</t>
  </si>
  <si>
    <t>10,730</t>
  </si>
  <si>
    <t>19,884</t>
  </si>
  <si>
    <t>250907</t>
  </si>
  <si>
    <t>WINNSBORO ISD</t>
  </si>
  <si>
    <t>4,423</t>
  </si>
  <si>
    <t>8,846</t>
  </si>
  <si>
    <t>16,743</t>
  </si>
  <si>
    <t>212910</t>
  </si>
  <si>
    <t>WINONA ISD</t>
  </si>
  <si>
    <t>7,886</t>
  </si>
  <si>
    <t>15,771</t>
  </si>
  <si>
    <t>28,285</t>
  </si>
  <si>
    <t>200904</t>
  </si>
  <si>
    <t>WINTERS ISD</t>
  </si>
  <si>
    <t>7,135</t>
  </si>
  <si>
    <t>14,269</t>
  </si>
  <si>
    <t>25,782</t>
  </si>
  <si>
    <t>174906</t>
  </si>
  <si>
    <t>WODEN ISD</t>
  </si>
  <si>
    <t>14,025</t>
  </si>
  <si>
    <t>25,375</t>
  </si>
  <si>
    <t>116909</t>
  </si>
  <si>
    <t>WOLFE CITY ISD</t>
  </si>
  <si>
    <t>6,496</t>
  </si>
  <si>
    <t>12,992</t>
  </si>
  <si>
    <t>23,653</t>
  </si>
  <si>
    <t>196902</t>
  </si>
  <si>
    <t>WOODSBORO ISD</t>
  </si>
  <si>
    <t>6,542</t>
  </si>
  <si>
    <t>13,083</t>
  </si>
  <si>
    <t>23,806</t>
  </si>
  <si>
    <t>224902</t>
  </si>
  <si>
    <t>WOODSON ISD</t>
  </si>
  <si>
    <t>22,710</t>
  </si>
  <si>
    <t>229903</t>
  </si>
  <si>
    <t>WOODVILLE ISD</t>
  </si>
  <si>
    <t>7,016</t>
  </si>
  <si>
    <t>14,033</t>
  </si>
  <si>
    <t>25,388</t>
  </si>
  <si>
    <t>081905</t>
  </si>
  <si>
    <t>WORTHAM ISD</t>
  </si>
  <si>
    <t>7,119</t>
  </si>
  <si>
    <t>25,729</t>
  </si>
  <si>
    <t>043914</t>
  </si>
  <si>
    <t>WYLIE ISD</t>
  </si>
  <si>
    <t>3,388</t>
  </si>
  <si>
    <t>6,777</t>
  </si>
  <si>
    <t>221912</t>
  </si>
  <si>
    <t>3,284</t>
  </si>
  <si>
    <t>12,948</t>
  </si>
  <si>
    <t>250905</t>
  </si>
  <si>
    <t>YANTIS ISD</t>
  </si>
  <si>
    <t>24,467</t>
  </si>
  <si>
    <t>101873</t>
  </si>
  <si>
    <t>YELLOWSTONE COLLEGE PREPARATORY</t>
  </si>
  <si>
    <t>10,972</t>
  </si>
  <si>
    <t>20,287</t>
  </si>
  <si>
    <t>101845</t>
  </si>
  <si>
    <t>YES PREP PUBLIC SCHOOLS INC</t>
  </si>
  <si>
    <t>7,125</t>
  </si>
  <si>
    <t>14,251</t>
  </si>
  <si>
    <t>25,752</t>
  </si>
  <si>
    <t>062903</t>
  </si>
  <si>
    <t>YOAKUM ISD</t>
  </si>
  <si>
    <t>7,469</t>
  </si>
  <si>
    <t>14,937</t>
  </si>
  <si>
    <t>26,895</t>
  </si>
  <si>
    <t>062904</t>
  </si>
  <si>
    <t>YORKTOWN ISD</t>
  </si>
  <si>
    <t>12,870</t>
  </si>
  <si>
    <t>23,450</t>
  </si>
  <si>
    <t>071905</t>
  </si>
  <si>
    <t>YSLETA ISD</t>
  </si>
  <si>
    <t>6,145</t>
  </si>
  <si>
    <t>12,290</t>
  </si>
  <si>
    <t>22,483</t>
  </si>
  <si>
    <t>253901</t>
  </si>
  <si>
    <t>ZAPATA COUNTY ISD</t>
  </si>
  <si>
    <t>7,498</t>
  </si>
  <si>
    <t>14,995</t>
  </si>
  <si>
    <t>26,992</t>
  </si>
  <si>
    <t>003906</t>
  </si>
  <si>
    <t>ZAVALLA ISD</t>
  </si>
  <si>
    <t>7,460</t>
  </si>
  <si>
    <t>26,866</t>
  </si>
  <si>
    <t>025906</t>
  </si>
  <si>
    <t>ZEPHYR ISD</t>
  </si>
  <si>
    <t>6,234</t>
  </si>
  <si>
    <t>12,468</t>
  </si>
  <si>
    <t>22,780</t>
  </si>
  <si>
    <t>000000</t>
  </si>
  <si>
    <t>TIA Example LEA</t>
  </si>
  <si>
    <t>5,536</t>
  </si>
  <si>
    <t>11,071</t>
  </si>
  <si>
    <t>20,452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</si>
</sst>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quot;$&quot;#,##0"/>
    <numFmt numFmtId="165" formatCode="_(* #,##0_);_(* \(#,##0\);_(* &quot;-&quot;??_);_(@_)"/>
    <numFmt numFmtId="166" formatCode="_(* #,##0.0_);_(* \(#,##0.0\);_(* &quot;-&quot;?_);_(@_)"/>
    <numFmt numFmtId="167" formatCode="0.0%"/>
    <numFmt numFmtId="168" formatCode="0.0"/>
    <numFmt numFmtId="169" formatCode="_(* #,##0.0_);_(* \(#,##0.0\);_(* &quot;-&quot;??_);_(@_)"/>
    <numFmt numFmtId="170"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indexed="8"/>
      <name val="Calibri"/>
      <family val="2"/>
      <scheme val="minor"/>
    </font>
    <font>
      <sz val="11"/>
      <color indexed="8"/>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1"/>
      <color theme="4" tint="0.79998168889431442"/>
      <name val="Calibri"/>
      <family val="2"/>
      <scheme val="minor"/>
    </font>
    <font>
      <sz val="12"/>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b/>
      <sz val="12"/>
      <color theme="0"/>
      <name val="Calibri"/>
      <family val="2"/>
      <scheme val="minor"/>
    </font>
    <font>
      <sz val="12"/>
      <color theme="0"/>
      <name val="Calibri"/>
      <family val="2"/>
      <scheme val="minor"/>
    </font>
    <font>
      <b/>
      <sz val="12"/>
      <color rgb="FFFF0000"/>
      <name val="Calibri"/>
      <family val="2"/>
      <scheme val="minor"/>
    </font>
  </fonts>
  <fills count="16">
    <fill>
      <patternFill patternType="none"/>
    </fill>
    <fill>
      <patternFill patternType="gray125"/>
    </fill>
    <fill>
      <patternFill patternType="solid">
        <fgColor theme="4" tint="0.39997558519241921"/>
        <bgColor indexed="64"/>
      </patternFill>
    </fill>
    <fill>
      <patternFill patternType="solid">
        <fgColor rgb="FF8EA9DB"/>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5050"/>
        <bgColor indexed="64"/>
      </patternFill>
    </fill>
    <fill>
      <patternFill patternType="solid">
        <fgColor theme="4" tint="-0.24994659260841701"/>
        <bgColor indexed="64"/>
      </patternFill>
    </fill>
    <fill>
      <patternFill patternType="solid">
        <fgColor rgb="FF305496"/>
        <bgColor indexed="64"/>
      </patternFill>
    </fill>
    <fill>
      <patternFill patternType="solid">
        <fgColor theme="2"/>
        <bgColor indexed="64"/>
      </patternFill>
    </fill>
    <fill>
      <patternFill patternType="solid">
        <fgColor theme="0"/>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50">
    <xf numFmtId="0" fontId="0" fillId="0" borderId="0" xfId="0"/>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center"/>
    </xf>
    <xf numFmtId="9" fontId="0" fillId="0" borderId="0" xfId="2" applyFont="1"/>
    <xf numFmtId="168" fontId="0" fillId="0" borderId="0" xfId="0" applyNumberFormat="1"/>
    <xf numFmtId="0" fontId="0" fillId="3" borderId="1" xfId="0" applyFill="1" applyBorder="1"/>
    <xf numFmtId="0" fontId="0" fillId="0" borderId="10" xfId="0" applyBorder="1"/>
    <xf numFmtId="167" fontId="0" fillId="0" borderId="0" xfId="2" applyNumberFormat="1" applyFont="1" applyBorder="1" applyAlignment="1">
      <alignment horizontal="center"/>
    </xf>
    <xf numFmtId="167" fontId="0" fillId="0" borderId="0" xfId="2" applyNumberFormat="1" applyFont="1" applyBorder="1"/>
    <xf numFmtId="167" fontId="0" fillId="5" borderId="0" xfId="2" applyNumberFormat="1" applyFont="1" applyFill="1" applyBorder="1" applyAlignment="1">
      <alignment horizontal="center"/>
    </xf>
    <xf numFmtId="164" fontId="0" fillId="5" borderId="0" xfId="0" applyNumberFormat="1" applyFill="1"/>
    <xf numFmtId="164" fontId="0" fillId="5" borderId="11" xfId="0" applyNumberFormat="1" applyFill="1" applyBorder="1"/>
    <xf numFmtId="167" fontId="0" fillId="5" borderId="15" xfId="2" applyNumberFormat="1" applyFont="1" applyFill="1" applyBorder="1" applyAlignment="1">
      <alignment horizontal="center"/>
    </xf>
    <xf numFmtId="164" fontId="0" fillId="5" borderId="13" xfId="0" applyNumberFormat="1" applyFill="1" applyBorder="1"/>
    <xf numFmtId="0" fontId="0" fillId="5" borderId="10" xfId="0" applyFill="1" applyBorder="1"/>
    <xf numFmtId="0" fontId="0" fillId="5" borderId="0" xfId="0" applyFill="1"/>
    <xf numFmtId="0" fontId="0" fillId="5" borderId="11" xfId="0" applyFill="1" applyBorder="1"/>
    <xf numFmtId="167" fontId="0" fillId="0" borderId="0" xfId="2" applyNumberFormat="1" applyFont="1" applyFill="1" applyBorder="1"/>
    <xf numFmtId="0" fontId="0" fillId="0" borderId="0" xfId="0" applyAlignment="1">
      <alignment wrapText="1"/>
    </xf>
    <xf numFmtId="0" fontId="0" fillId="0" borderId="11" xfId="0" applyBorder="1"/>
    <xf numFmtId="167" fontId="0" fillId="0" borderId="0" xfId="2" applyNumberFormat="1" applyFont="1" applyFill="1" applyBorder="1" applyAlignment="1">
      <alignment horizontal="center"/>
    </xf>
    <xf numFmtId="0" fontId="2" fillId="0" borderId="0" xfId="0" applyFont="1" applyAlignment="1">
      <alignment vertical="center"/>
    </xf>
    <xf numFmtId="0" fontId="0" fillId="0" borderId="0" xfId="0" applyAlignment="1">
      <alignment vertical="center"/>
    </xf>
    <xf numFmtId="6" fontId="0" fillId="0" borderId="0" xfId="0" applyNumberFormat="1" applyAlignment="1">
      <alignment vertical="center"/>
    </xf>
    <xf numFmtId="164" fontId="2" fillId="0" borderId="0" xfId="0" applyNumberFormat="1" applyFont="1"/>
    <xf numFmtId="0" fontId="2" fillId="3" borderId="2" xfId="0" applyFont="1" applyFill="1" applyBorder="1"/>
    <xf numFmtId="164" fontId="0" fillId="3" borderId="16" xfId="0" applyNumberFormat="1" applyFill="1" applyBorder="1"/>
    <xf numFmtId="0" fontId="0" fillId="4" borderId="16" xfId="0" applyFill="1" applyBorder="1"/>
    <xf numFmtId="0" fontId="0" fillId="0" borderId="17" xfId="0" applyBorder="1"/>
    <xf numFmtId="169" fontId="0" fillId="0" borderId="0" xfId="1" applyNumberFormat="1" applyFont="1" applyFill="1" applyBorder="1"/>
    <xf numFmtId="9" fontId="0" fillId="0" borderId="0" xfId="0" applyNumberFormat="1"/>
    <xf numFmtId="164" fontId="0" fillId="0" borderId="0" xfId="2" applyNumberFormat="1" applyFont="1"/>
    <xf numFmtId="0" fontId="2" fillId="0" borderId="10" xfId="0" applyFont="1" applyBorder="1"/>
    <xf numFmtId="164" fontId="0" fillId="5" borderId="1" xfId="0" applyNumberFormat="1" applyFill="1" applyBorder="1"/>
    <xf numFmtId="164" fontId="0" fillId="5" borderId="17" xfId="0" applyNumberFormat="1" applyFill="1" applyBorder="1"/>
    <xf numFmtId="164" fontId="0" fillId="0" borderId="0" xfId="0" applyNumberFormat="1" applyAlignment="1">
      <alignment horizontal="center"/>
    </xf>
    <xf numFmtId="0" fontId="6" fillId="0" borderId="0" xfId="0" applyFont="1"/>
    <xf numFmtId="0" fontId="0" fillId="0" borderId="16" xfId="0" applyBorder="1"/>
    <xf numFmtId="0" fontId="0" fillId="4" borderId="2" xfId="0" applyFill="1" applyBorder="1"/>
    <xf numFmtId="0" fontId="0" fillId="5" borderId="2" xfId="0" applyFill="1" applyBorder="1"/>
    <xf numFmtId="0" fontId="0" fillId="5" borderId="16" xfId="0" applyFill="1" applyBorder="1"/>
    <xf numFmtId="0" fontId="0" fillId="5" borderId="17" xfId="0" applyFill="1" applyBorder="1"/>
    <xf numFmtId="0" fontId="0" fillId="4" borderId="17" xfId="0" applyFill="1" applyBorder="1"/>
    <xf numFmtId="0" fontId="2" fillId="6" borderId="2" xfId="0" applyFont="1" applyFill="1" applyBorder="1"/>
    <xf numFmtId="0" fontId="0" fillId="6" borderId="16" xfId="0" applyFill="1" applyBorder="1"/>
    <xf numFmtId="0" fontId="0" fillId="6" borderId="17" xfId="0" applyFill="1" applyBorder="1"/>
    <xf numFmtId="0" fontId="0" fillId="7" borderId="10" xfId="0" applyFill="1" applyBorder="1"/>
    <xf numFmtId="0" fontId="0" fillId="7" borderId="0" xfId="0" applyFill="1"/>
    <xf numFmtId="0" fontId="0" fillId="7" borderId="11" xfId="0" applyFill="1" applyBorder="1"/>
    <xf numFmtId="9" fontId="0" fillId="5" borderId="14" xfId="2" applyFont="1" applyFill="1" applyBorder="1"/>
    <xf numFmtId="9" fontId="0" fillId="5" borderId="0" xfId="2" applyFont="1" applyFill="1" applyBorder="1"/>
    <xf numFmtId="169" fontId="0" fillId="5" borderId="0" xfId="1" applyNumberFormat="1" applyFont="1" applyFill="1" applyBorder="1"/>
    <xf numFmtId="169" fontId="0" fillId="5" borderId="16" xfId="1" applyNumberFormat="1" applyFont="1" applyFill="1" applyBorder="1"/>
    <xf numFmtId="164" fontId="0" fillId="5" borderId="1" xfId="0" applyNumberFormat="1" applyFill="1" applyBorder="1" applyAlignment="1">
      <alignment horizontal="center"/>
    </xf>
    <xf numFmtId="0" fontId="0" fillId="5" borderId="1" xfId="0" applyFill="1" applyBorder="1"/>
    <xf numFmtId="166" fontId="0" fillId="5" borderId="1" xfId="0" applyNumberFormat="1" applyFill="1" applyBorder="1" applyAlignment="1">
      <alignment horizontal="center"/>
    </xf>
    <xf numFmtId="166" fontId="0" fillId="5" borderId="1" xfId="0" applyNumberFormat="1" applyFill="1" applyBorder="1"/>
    <xf numFmtId="0" fontId="0" fillId="5" borderId="12" xfId="0" applyFill="1" applyBorder="1"/>
    <xf numFmtId="169" fontId="0" fillId="5" borderId="15" xfId="1" applyNumberFormat="1" applyFont="1" applyFill="1" applyBorder="1"/>
    <xf numFmtId="164" fontId="0" fillId="5" borderId="8" xfId="0" applyNumberFormat="1" applyFill="1" applyBorder="1"/>
    <xf numFmtId="0" fontId="2" fillId="5" borderId="10" xfId="0" applyFont="1" applyFill="1" applyBorder="1"/>
    <xf numFmtId="164" fontId="5" fillId="5" borderId="1" xfId="1" applyNumberFormat="1" applyFont="1" applyFill="1" applyBorder="1"/>
    <xf numFmtId="169" fontId="5" fillId="5" borderId="1" xfId="1" applyNumberFormat="1" applyFont="1" applyFill="1" applyBorder="1"/>
    <xf numFmtId="164" fontId="5" fillId="5" borderId="1" xfId="0" applyNumberFormat="1" applyFont="1" applyFill="1" applyBorder="1"/>
    <xf numFmtId="169" fontId="0" fillId="5" borderId="1" xfId="1" applyNumberFormat="1" applyFont="1" applyFill="1" applyBorder="1"/>
    <xf numFmtId="0" fontId="0" fillId="8" borderId="2" xfId="0" applyFill="1" applyBorder="1"/>
    <xf numFmtId="164" fontId="0" fillId="5" borderId="3" xfId="0" applyNumberFormat="1" applyFill="1" applyBorder="1"/>
    <xf numFmtId="0" fontId="0" fillId="5" borderId="3" xfId="0" applyFill="1" applyBorder="1"/>
    <xf numFmtId="0" fontId="0" fillId="5" borderId="8" xfId="0" applyFill="1" applyBorder="1"/>
    <xf numFmtId="0" fontId="0" fillId="8" borderId="16" xfId="0" applyFill="1" applyBorder="1"/>
    <xf numFmtId="0" fontId="0" fillId="8" borderId="17" xfId="0" applyFill="1" applyBorder="1"/>
    <xf numFmtId="0" fontId="0" fillId="5" borderId="18" xfId="0" applyFill="1" applyBorder="1"/>
    <xf numFmtId="164" fontId="0" fillId="5" borderId="18" xfId="0" applyNumberFormat="1" applyFill="1" applyBorder="1"/>
    <xf numFmtId="164" fontId="2" fillId="3" borderId="1" xfId="0" applyNumberFormat="1" applyFont="1" applyFill="1" applyBorder="1"/>
    <xf numFmtId="0" fontId="0" fillId="8" borderId="4" xfId="0" applyFill="1" applyBorder="1"/>
    <xf numFmtId="0" fontId="0" fillId="8" borderId="12" xfId="0" applyFill="1" applyBorder="1"/>
    <xf numFmtId="164" fontId="2" fillId="8" borderId="14" xfId="0" applyNumberFormat="1" applyFont="1" applyFill="1" applyBorder="1" applyAlignment="1">
      <alignment horizontal="center" wrapText="1"/>
    </xf>
    <xf numFmtId="164" fontId="2" fillId="8" borderId="9" xfId="0" applyNumberFormat="1" applyFont="1" applyFill="1" applyBorder="1" applyAlignment="1">
      <alignment horizontal="center" wrapText="1"/>
    </xf>
    <xf numFmtId="0" fontId="0" fillId="8" borderId="15" xfId="0" applyFill="1" applyBorder="1"/>
    <xf numFmtId="0" fontId="0" fillId="8" borderId="13" xfId="0" applyFill="1" applyBorder="1"/>
    <xf numFmtId="0" fontId="0" fillId="5" borderId="4" xfId="0" applyFill="1" applyBorder="1"/>
    <xf numFmtId="169" fontId="0" fillId="5" borderId="14" xfId="1" applyNumberFormat="1" applyFont="1" applyFill="1" applyBorder="1"/>
    <xf numFmtId="9" fontId="0" fillId="8" borderId="14" xfId="2" applyFont="1" applyFill="1" applyBorder="1"/>
    <xf numFmtId="169" fontId="0" fillId="8" borderId="14" xfId="1" applyNumberFormat="1" applyFont="1" applyFill="1" applyBorder="1"/>
    <xf numFmtId="164" fontId="0" fillId="5" borderId="2" xfId="0" applyNumberFormat="1" applyFill="1" applyBorder="1"/>
    <xf numFmtId="164" fontId="0" fillId="8" borderId="9" xfId="0" applyNumberFormat="1" applyFill="1" applyBorder="1"/>
    <xf numFmtId="0" fontId="0" fillId="5" borderId="13" xfId="0" applyFill="1" applyBorder="1"/>
    <xf numFmtId="9" fontId="0" fillId="5" borderId="2" xfId="2" applyFont="1" applyFill="1" applyBorder="1"/>
    <xf numFmtId="0" fontId="2" fillId="5" borderId="15" xfId="0" applyFont="1" applyFill="1" applyBorder="1"/>
    <xf numFmtId="0" fontId="2" fillId="0" borderId="0" xfId="0" applyFont="1" applyAlignment="1">
      <alignment horizontal="center"/>
    </xf>
    <xf numFmtId="0" fontId="2" fillId="0" borderId="0" xfId="0" applyFont="1" applyAlignment="1">
      <alignment horizontal="center" wrapText="1"/>
    </xf>
    <xf numFmtId="167" fontId="2" fillId="0" borderId="0" xfId="2" applyNumberFormat="1" applyFont="1" applyFill="1" applyBorder="1" applyAlignment="1">
      <alignment horizontal="center"/>
    </xf>
    <xf numFmtId="164" fontId="0" fillId="6" borderId="16" xfId="0" applyNumberFormat="1" applyFill="1" applyBorder="1"/>
    <xf numFmtId="0" fontId="2" fillId="0" borderId="0" xfId="0" applyFont="1" applyAlignment="1">
      <alignment horizontal="left"/>
    </xf>
    <xf numFmtId="164" fontId="2" fillId="3" borderId="17" xfId="0" applyNumberFormat="1" applyFont="1" applyFill="1" applyBorder="1"/>
    <xf numFmtId="164" fontId="0" fillId="0" borderId="0" xfId="1" applyNumberFormat="1" applyFont="1" applyFill="1" applyBorder="1" applyAlignment="1">
      <alignment horizontal="right"/>
    </xf>
    <xf numFmtId="165" fontId="0" fillId="0" borderId="0" xfId="1" applyNumberFormat="1" applyFont="1"/>
    <xf numFmtId="167" fontId="2" fillId="6" borderId="16" xfId="2" applyNumberFormat="1" applyFont="1" applyFill="1" applyBorder="1" applyAlignment="1">
      <alignment horizontal="center"/>
    </xf>
    <xf numFmtId="164" fontId="2" fillId="6" borderId="16" xfId="0" applyNumberFormat="1" applyFont="1" applyFill="1" applyBorder="1"/>
    <xf numFmtId="0" fontId="2" fillId="6" borderId="16" xfId="0" applyFont="1" applyFill="1" applyBorder="1"/>
    <xf numFmtId="0" fontId="7" fillId="6" borderId="16" xfId="0" applyFont="1" applyFill="1" applyBorder="1"/>
    <xf numFmtId="0" fontId="2" fillId="6" borderId="17" xfId="0" applyFont="1" applyFill="1" applyBorder="1"/>
    <xf numFmtId="0" fontId="2" fillId="0" borderId="7" xfId="0" applyFont="1" applyBorder="1" applyAlignment="1">
      <alignment horizontal="center"/>
    </xf>
    <xf numFmtId="0" fontId="0" fillId="0" borderId="0" xfId="0"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65" fontId="0" fillId="0" borderId="1" xfId="1" applyNumberFormat="1" applyFont="1" applyFill="1" applyBorder="1" applyAlignment="1" applyProtection="1">
      <alignment horizontal="center"/>
      <protection locked="0"/>
    </xf>
    <xf numFmtId="164" fontId="0" fillId="0" borderId="8" xfId="0" applyNumberFormat="1" applyBorder="1" applyProtection="1">
      <protection locked="0"/>
    </xf>
    <xf numFmtId="164" fontId="0" fillId="0" borderId="1" xfId="0" applyNumberFormat="1" applyBorder="1" applyProtection="1">
      <protection locked="0"/>
    </xf>
    <xf numFmtId="164" fontId="5" fillId="0" borderId="1" xfId="2" applyNumberFormat="1" applyFont="1" applyFill="1" applyBorder="1" applyProtection="1">
      <protection locked="0"/>
    </xf>
    <xf numFmtId="164" fontId="0" fillId="0" borderId="1" xfId="2" applyNumberFormat="1" applyFont="1" applyFill="1" applyBorder="1" applyProtection="1">
      <protection locked="0"/>
    </xf>
    <xf numFmtId="169" fontId="0" fillId="0" borderId="2" xfId="1" applyNumberFormat="1" applyFont="1" applyFill="1" applyBorder="1" applyProtection="1">
      <protection locked="0"/>
    </xf>
    <xf numFmtId="0" fontId="0" fillId="0" borderId="1" xfId="0" applyBorder="1" applyProtection="1">
      <protection locked="0"/>
    </xf>
    <xf numFmtId="167" fontId="0" fillId="0" borderId="1" xfId="2" applyNumberFormat="1" applyFont="1" applyFill="1" applyBorder="1" applyAlignment="1" applyProtection="1">
      <alignment horizontal="center"/>
      <protection locked="0"/>
    </xf>
    <xf numFmtId="0" fontId="0" fillId="0" borderId="13" xfId="0" applyBorder="1"/>
    <xf numFmtId="164" fontId="0" fillId="4" borderId="8" xfId="0" applyNumberFormat="1" applyFill="1" applyBorder="1" applyAlignment="1">
      <alignment horizontal="center"/>
    </xf>
    <xf numFmtId="164" fontId="0" fillId="4" borderId="1" xfId="0" applyNumberFormat="1" applyFill="1" applyBorder="1" applyAlignment="1">
      <alignment horizontal="center"/>
    </xf>
    <xf numFmtId="169" fontId="0" fillId="0" borderId="8" xfId="1" applyNumberFormat="1" applyFont="1" applyBorder="1" applyAlignment="1" applyProtection="1">
      <alignment horizontal="center"/>
      <protection locked="0"/>
    </xf>
    <xf numFmtId="169" fontId="0" fillId="0" borderId="8" xfId="1" applyNumberFormat="1" applyFont="1" applyBorder="1" applyProtection="1">
      <protection locked="0"/>
    </xf>
    <xf numFmtId="169" fontId="0" fillId="0" borderId="1" xfId="1" applyNumberFormat="1" applyFont="1" applyBorder="1" applyProtection="1">
      <protection locked="0"/>
    </xf>
    <xf numFmtId="169" fontId="0" fillId="0" borderId="1" xfId="1" applyNumberFormat="1" applyFont="1" applyBorder="1" applyAlignment="1" applyProtection="1">
      <alignment horizontal="center"/>
      <protection locked="0"/>
    </xf>
    <xf numFmtId="0" fontId="0" fillId="0" borderId="8" xfId="0" applyBorder="1" applyProtection="1">
      <protection locked="0"/>
    </xf>
    <xf numFmtId="167" fontId="0" fillId="0" borderId="1" xfId="2" applyNumberFormat="1" applyFont="1" applyBorder="1" applyAlignment="1" applyProtection="1">
      <alignment horizontal="center"/>
      <protection locked="0"/>
    </xf>
    <xf numFmtId="169" fontId="0" fillId="0" borderId="1" xfId="1" applyNumberFormat="1" applyFont="1" applyFill="1" applyBorder="1" applyAlignment="1" applyProtection="1">
      <alignment wrapText="1"/>
      <protection locked="0"/>
    </xf>
    <xf numFmtId="169" fontId="0" fillId="0" borderId="1" xfId="1" applyNumberFormat="1" applyFont="1" applyFill="1" applyBorder="1" applyProtection="1">
      <protection locked="0"/>
    </xf>
    <xf numFmtId="9" fontId="2" fillId="3" borderId="1" xfId="0" applyNumberFormat="1" applyFont="1" applyFill="1" applyBorder="1" applyAlignment="1">
      <alignment horizontal="center"/>
    </xf>
    <xf numFmtId="0" fontId="9" fillId="0" borderId="1" xfId="0" applyFont="1" applyBorder="1" applyAlignment="1">
      <alignment horizontal="center"/>
    </xf>
    <xf numFmtId="9" fontId="2" fillId="3" borderId="1" xfId="2" applyFont="1" applyFill="1" applyBorder="1" applyAlignment="1">
      <alignment horizontal="center"/>
    </xf>
    <xf numFmtId="3" fontId="0" fillId="0" borderId="0" xfId="0" applyNumberFormat="1"/>
    <xf numFmtId="0" fontId="0" fillId="0" borderId="0" xfId="0" applyAlignment="1">
      <alignment horizontal="left" vertical="center" wrapText="1"/>
    </xf>
    <xf numFmtId="0" fontId="0" fillId="0" borderId="3" xfId="0" applyBorder="1"/>
    <xf numFmtId="10" fontId="0" fillId="0" borderId="0" xfId="2" applyNumberFormat="1" applyFont="1"/>
    <xf numFmtId="10" fontId="0" fillId="0" borderId="0" xfId="0" applyNumberFormat="1"/>
    <xf numFmtId="164" fontId="0" fillId="0" borderId="12" xfId="0" applyNumberFormat="1" applyBorder="1" applyProtection="1">
      <protection locked="0"/>
    </xf>
    <xf numFmtId="9" fontId="0" fillId="5" borderId="12" xfId="2" applyFont="1" applyFill="1" applyBorder="1"/>
    <xf numFmtId="0" fontId="8" fillId="0" borderId="0" xfId="0" applyFont="1"/>
    <xf numFmtId="0" fontId="0" fillId="7" borderId="2" xfId="0" applyFill="1" applyBorder="1"/>
    <xf numFmtId="9" fontId="0" fillId="7" borderId="16" xfId="2" applyFont="1" applyFill="1" applyBorder="1"/>
    <xf numFmtId="169" fontId="0" fillId="7" borderId="16" xfId="1" applyNumberFormat="1" applyFont="1" applyFill="1" applyBorder="1"/>
    <xf numFmtId="164" fontId="0" fillId="7" borderId="17" xfId="0" applyNumberFormat="1" applyFill="1" applyBorder="1"/>
    <xf numFmtId="9" fontId="0" fillId="5" borderId="4" xfId="2" applyFont="1" applyFill="1" applyBorder="1"/>
    <xf numFmtId="169" fontId="0" fillId="5" borderId="9" xfId="1" applyNumberFormat="1" applyFont="1" applyFill="1" applyBorder="1"/>
    <xf numFmtId="167" fontId="5" fillId="0" borderId="1" xfId="2" applyNumberFormat="1" applyFont="1" applyFill="1" applyBorder="1" applyProtection="1">
      <protection locked="0"/>
    </xf>
    <xf numFmtId="167" fontId="0" fillId="0" borderId="1" xfId="2" applyNumberFormat="1" applyFont="1" applyFill="1" applyBorder="1" applyProtection="1">
      <protection locked="0"/>
    </xf>
    <xf numFmtId="167" fontId="0" fillId="0" borderId="1" xfId="2" applyNumberFormat="1" applyFont="1" applyBorder="1" applyProtection="1">
      <protection locked="0"/>
    </xf>
    <xf numFmtId="164" fontId="0" fillId="5" borderId="10" xfId="0" applyNumberFormat="1" applyFill="1" applyBorder="1"/>
    <xf numFmtId="164" fontId="0" fillId="5" borderId="1" xfId="1" applyNumberFormat="1" applyFont="1" applyFill="1" applyBorder="1"/>
    <xf numFmtId="164" fontId="2" fillId="5" borderId="10" xfId="0" applyNumberFormat="1" applyFont="1" applyFill="1" applyBorder="1" applyAlignment="1">
      <alignment vertical="center"/>
    </xf>
    <xf numFmtId="164" fontId="0" fillId="5" borderId="1" xfId="0" applyNumberFormat="1" applyFill="1" applyBorder="1" applyAlignment="1">
      <alignment horizontal="right" wrapText="1"/>
    </xf>
    <xf numFmtId="167" fontId="0" fillId="5" borderId="8" xfId="2" applyNumberFormat="1" applyFont="1" applyFill="1" applyBorder="1" applyAlignment="1">
      <alignment horizontal="center"/>
    </xf>
    <xf numFmtId="167" fontId="1" fillId="5" borderId="1" xfId="2" applyNumberFormat="1" applyFont="1" applyFill="1" applyBorder="1" applyAlignment="1">
      <alignment horizontal="center" wrapText="1"/>
    </xf>
    <xf numFmtId="0" fontId="2" fillId="5" borderId="1" xfId="0" applyFont="1" applyFill="1" applyBorder="1" applyAlignment="1">
      <alignment horizontal="center" wrapText="1"/>
    </xf>
    <xf numFmtId="164" fontId="0" fillId="5" borderId="3" xfId="0" applyNumberFormat="1" applyFill="1" applyBorder="1" applyAlignment="1">
      <alignment horizontal="right" wrapText="1"/>
    </xf>
    <xf numFmtId="164" fontId="0" fillId="5" borderId="0" xfId="2" applyNumberFormat="1" applyFont="1" applyFill="1" applyBorder="1" applyAlignment="1">
      <alignment horizontal="center"/>
    </xf>
    <xf numFmtId="164" fontId="0" fillId="5" borderId="9" xfId="0" applyNumberFormat="1" applyFill="1" applyBorder="1"/>
    <xf numFmtId="164" fontId="2" fillId="5" borderId="12" xfId="0" applyNumberFormat="1" applyFont="1" applyFill="1" applyBorder="1" applyAlignment="1">
      <alignment horizontal="center"/>
    </xf>
    <xf numFmtId="164" fontId="0" fillId="5" borderId="16" xfId="1" applyNumberFormat="1" applyFont="1" applyFill="1" applyBorder="1"/>
    <xf numFmtId="164" fontId="0" fillId="5" borderId="17" xfId="1" applyNumberFormat="1" applyFont="1" applyFill="1" applyBorder="1"/>
    <xf numFmtId="164" fontId="5" fillId="5" borderId="16" xfId="0" applyNumberFormat="1" applyFont="1" applyFill="1" applyBorder="1" applyProtection="1">
      <protection locked="0"/>
    </xf>
    <xf numFmtId="9" fontId="0" fillId="8" borderId="16" xfId="2" applyFont="1" applyFill="1" applyBorder="1"/>
    <xf numFmtId="169" fontId="0" fillId="8" borderId="16" xfId="1" applyNumberFormat="1" applyFont="1" applyFill="1" applyBorder="1"/>
    <xf numFmtId="164" fontId="0" fillId="8" borderId="17" xfId="0" applyNumberFormat="1" applyFill="1" applyBorder="1"/>
    <xf numFmtId="0" fontId="2" fillId="5" borderId="2" xfId="0" applyFont="1" applyFill="1" applyBorder="1" applyAlignment="1">
      <alignment vertical="center"/>
    </xf>
    <xf numFmtId="164" fontId="5" fillId="5" borderId="15" xfId="0" applyNumberFormat="1" applyFont="1" applyFill="1" applyBorder="1" applyAlignment="1">
      <alignment vertical="center"/>
    </xf>
    <xf numFmtId="164" fontId="5" fillId="5" borderId="13" xfId="0" applyNumberFormat="1" applyFont="1" applyFill="1" applyBorder="1" applyAlignment="1">
      <alignment vertical="center"/>
    </xf>
    <xf numFmtId="164" fontId="4" fillId="5" borderId="13" xfId="0" applyNumberFormat="1" applyFont="1" applyFill="1" applyBorder="1" applyAlignment="1">
      <alignment vertical="center"/>
    </xf>
    <xf numFmtId="0" fontId="2" fillId="5" borderId="10" xfId="0" applyFont="1" applyFill="1" applyBorder="1" applyAlignment="1">
      <alignment vertical="center"/>
    </xf>
    <xf numFmtId="164" fontId="0" fillId="5" borderId="11" xfId="0" applyNumberFormat="1" applyFill="1" applyBorder="1" applyAlignment="1">
      <alignment vertical="center"/>
    </xf>
    <xf numFmtId="164" fontId="2" fillId="5" borderId="1" xfId="0" applyNumberFormat="1" applyFont="1" applyFill="1" applyBorder="1" applyAlignment="1">
      <alignment vertical="center"/>
    </xf>
    <xf numFmtId="169" fontId="0" fillId="5" borderId="8" xfId="1" applyNumberFormat="1" applyFont="1" applyFill="1" applyBorder="1" applyAlignment="1">
      <alignment horizontal="center"/>
    </xf>
    <xf numFmtId="0" fontId="0" fillId="0" borderId="15" xfId="0" applyBorder="1" applyAlignment="1">
      <alignment horizontal="center"/>
    </xf>
    <xf numFmtId="0" fontId="2" fillId="5" borderId="0" xfId="0" applyFont="1" applyFill="1"/>
    <xf numFmtId="164" fontId="0" fillId="5" borderId="0" xfId="0" applyNumberFormat="1" applyFill="1" applyAlignment="1">
      <alignment vertical="center"/>
    </xf>
    <xf numFmtId="168" fontId="0" fillId="5" borderId="0" xfId="0" applyNumberFormat="1" applyFill="1" applyAlignment="1">
      <alignment vertical="center"/>
    </xf>
    <xf numFmtId="0" fontId="2" fillId="5" borderId="0" xfId="0" applyFont="1" applyFill="1" applyAlignment="1">
      <alignment horizontal="center" wrapText="1"/>
    </xf>
    <xf numFmtId="167" fontId="0" fillId="5" borderId="14" xfId="2" applyNumberFormat="1" applyFont="1" applyFill="1" applyBorder="1" applyAlignment="1">
      <alignment horizontal="center"/>
    </xf>
    <xf numFmtId="167" fontId="0" fillId="5" borderId="11" xfId="2" applyNumberFormat="1" applyFont="1" applyFill="1" applyBorder="1"/>
    <xf numFmtId="167" fontId="0" fillId="5" borderId="13" xfId="2" applyNumberFormat="1" applyFont="1" applyFill="1" applyBorder="1"/>
    <xf numFmtId="170" fontId="0" fillId="5" borderId="4" xfId="0" applyNumberFormat="1" applyFill="1" applyBorder="1" applyAlignment="1">
      <alignment horizontal="center"/>
    </xf>
    <xf numFmtId="170" fontId="0" fillId="5" borderId="0" xfId="0" applyNumberFormat="1" applyFill="1" applyAlignment="1">
      <alignment horizontal="center"/>
    </xf>
    <xf numFmtId="170" fontId="0" fillId="5" borderId="11" xfId="0" applyNumberFormat="1" applyFill="1" applyBorder="1" applyAlignment="1">
      <alignment horizontal="center"/>
    </xf>
    <xf numFmtId="170" fontId="0" fillId="5" borderId="14" xfId="0" applyNumberFormat="1" applyFill="1" applyBorder="1" applyAlignment="1">
      <alignment horizontal="center"/>
    </xf>
    <xf numFmtId="170" fontId="0" fillId="5" borderId="18" xfId="0" applyNumberFormat="1" applyFill="1" applyBorder="1"/>
    <xf numFmtId="170" fontId="0" fillId="5" borderId="4" xfId="0" applyNumberFormat="1" applyFill="1" applyBorder="1"/>
    <xf numFmtId="170" fontId="0" fillId="5" borderId="14" xfId="0" applyNumberFormat="1" applyFill="1" applyBorder="1"/>
    <xf numFmtId="170" fontId="0" fillId="5" borderId="11" xfId="0" applyNumberFormat="1" applyFill="1" applyBorder="1" applyAlignment="1">
      <alignment horizontal="right"/>
    </xf>
    <xf numFmtId="170" fontId="0" fillId="5" borderId="10" xfId="0" applyNumberFormat="1" applyFill="1" applyBorder="1" applyAlignment="1">
      <alignment horizontal="center"/>
    </xf>
    <xf numFmtId="170" fontId="0" fillId="5" borderId="10" xfId="0" applyNumberFormat="1" applyFill="1" applyBorder="1"/>
    <xf numFmtId="170" fontId="0" fillId="5" borderId="0" xfId="0" applyNumberFormat="1" applyFill="1"/>
    <xf numFmtId="170" fontId="0" fillId="5" borderId="11" xfId="0" applyNumberFormat="1" applyFill="1" applyBorder="1"/>
    <xf numFmtId="170" fontId="0" fillId="5" borderId="12" xfId="0" applyNumberFormat="1" applyFill="1" applyBorder="1" applyAlignment="1">
      <alignment horizontal="center"/>
    </xf>
    <xf numFmtId="170" fontId="0" fillId="5" borderId="15" xfId="0" applyNumberFormat="1" applyFill="1" applyBorder="1" applyAlignment="1">
      <alignment horizontal="center"/>
    </xf>
    <xf numFmtId="170" fontId="0" fillId="5" borderId="13" xfId="0" applyNumberFormat="1" applyFill="1" applyBorder="1" applyAlignment="1">
      <alignment horizontal="center"/>
    </xf>
    <xf numFmtId="170" fontId="0" fillId="5" borderId="8" xfId="0" applyNumberFormat="1" applyFill="1" applyBorder="1"/>
    <xf numFmtId="0" fontId="0" fillId="0" borderId="13" xfId="0" applyBorder="1" applyAlignment="1">
      <alignment horizontal="center"/>
    </xf>
    <xf numFmtId="167" fontId="0" fillId="0" borderId="9" xfId="2" applyNumberFormat="1" applyFont="1" applyBorder="1" applyProtection="1">
      <protection locked="0"/>
    </xf>
    <xf numFmtId="170" fontId="2" fillId="5" borderId="12" xfId="0" applyNumberFormat="1" applyFont="1" applyFill="1" applyBorder="1"/>
    <xf numFmtId="170" fontId="2" fillId="5" borderId="15" xfId="0" applyNumberFormat="1" applyFont="1" applyFill="1" applyBorder="1"/>
    <xf numFmtId="170" fontId="2" fillId="5" borderId="13" xfId="0" applyNumberFormat="1" applyFont="1" applyFill="1" applyBorder="1"/>
    <xf numFmtId="0" fontId="0" fillId="5" borderId="14" xfId="0" applyFill="1" applyBorder="1"/>
    <xf numFmtId="167" fontId="2" fillId="5" borderId="3" xfId="2" applyNumberFormat="1" applyFont="1" applyFill="1" applyBorder="1" applyAlignment="1">
      <alignment horizontal="center"/>
    </xf>
    <xf numFmtId="0" fontId="0" fillId="5" borderId="9" xfId="0" applyFill="1" applyBorder="1"/>
    <xf numFmtId="0" fontId="0" fillId="2" borderId="16" xfId="0" applyFill="1" applyBorder="1"/>
    <xf numFmtId="0" fontId="0" fillId="2" borderId="17" xfId="0" applyFill="1" applyBorder="1"/>
    <xf numFmtId="0" fontId="0" fillId="0" borderId="0" xfId="2" applyNumberFormat="1" applyFont="1"/>
    <xf numFmtId="10" fontId="0" fillId="5" borderId="0" xfId="2" applyNumberFormat="1" applyFont="1" applyFill="1" applyBorder="1"/>
    <xf numFmtId="0" fontId="8" fillId="5" borderId="15" xfId="0" applyFont="1" applyFill="1" applyBorder="1"/>
    <xf numFmtId="10" fontId="0" fillId="5" borderId="15" xfId="0" applyNumberFormat="1" applyFill="1" applyBorder="1"/>
    <xf numFmtId="10" fontId="0" fillId="5" borderId="9" xfId="2" applyNumberFormat="1" applyFont="1" applyFill="1" applyBorder="1"/>
    <xf numFmtId="10" fontId="0" fillId="5" borderId="11" xfId="2" applyNumberFormat="1" applyFont="1" applyFill="1" applyBorder="1"/>
    <xf numFmtId="0" fontId="2" fillId="5" borderId="3" xfId="0" applyFont="1" applyFill="1" applyBorder="1"/>
    <xf numFmtId="0" fontId="2" fillId="5" borderId="18" xfId="0" applyFont="1" applyFill="1" applyBorder="1"/>
    <xf numFmtId="10" fontId="0" fillId="5" borderId="4" xfId="2" applyNumberFormat="1" applyFont="1" applyFill="1" applyBorder="1"/>
    <xf numFmtId="10" fontId="0" fillId="5" borderId="10" xfId="2" applyNumberFormat="1" applyFont="1" applyFill="1" applyBorder="1"/>
    <xf numFmtId="10" fontId="0" fillId="5" borderId="18" xfId="2" applyNumberFormat="1" applyFont="1" applyFill="1" applyBorder="1"/>
    <xf numFmtId="10" fontId="0" fillId="5" borderId="8" xfId="2" applyNumberFormat="1" applyFont="1" applyFill="1" applyBorder="1"/>
    <xf numFmtId="0" fontId="0" fillId="9" borderId="4" xfId="0" applyFill="1" applyBorder="1"/>
    <xf numFmtId="0" fontId="0" fillId="9" borderId="14" xfId="0" applyFill="1" applyBorder="1"/>
    <xf numFmtId="0" fontId="0" fillId="9" borderId="9" xfId="0" applyFill="1" applyBorder="1"/>
    <xf numFmtId="0" fontId="0" fillId="9" borderId="12" xfId="0" applyFill="1" applyBorder="1"/>
    <xf numFmtId="0" fontId="0" fillId="9" borderId="15" xfId="0" applyFill="1" applyBorder="1"/>
    <xf numFmtId="0" fontId="0" fillId="9" borderId="13" xfId="0" applyFill="1" applyBorder="1"/>
    <xf numFmtId="10" fontId="0" fillId="5" borderId="0" xfId="0" applyNumberFormat="1" applyFill="1"/>
    <xf numFmtId="0" fontId="8" fillId="5" borderId="18" xfId="0" applyFont="1" applyFill="1" applyBorder="1"/>
    <xf numFmtId="0" fontId="8" fillId="5" borderId="0" xfId="0" applyFont="1" applyFill="1"/>
    <xf numFmtId="0" fontId="2" fillId="0" borderId="0" xfId="0" applyFont="1" applyAlignment="1">
      <alignment wrapText="1"/>
    </xf>
    <xf numFmtId="10" fontId="0" fillId="5" borderId="3" xfId="2" applyNumberFormat="1" applyFont="1" applyFill="1" applyBorder="1"/>
    <xf numFmtId="0" fontId="0" fillId="11" borderId="1" xfId="0" applyFill="1" applyBorder="1"/>
    <xf numFmtId="0" fontId="12" fillId="12" borderId="1" xfId="0" applyFont="1" applyFill="1" applyBorder="1"/>
    <xf numFmtId="0" fontId="11" fillId="12" borderId="1" xfId="0" applyFont="1" applyFill="1" applyBorder="1" applyAlignment="1">
      <alignment horizontal="center"/>
    </xf>
    <xf numFmtId="0" fontId="11" fillId="11" borderId="1" xfId="0" applyFont="1" applyFill="1" applyBorder="1" applyAlignment="1">
      <alignment horizontal="center"/>
    </xf>
    <xf numFmtId="0" fontId="12" fillId="11" borderId="2" xfId="0" applyFont="1" applyFill="1" applyBorder="1"/>
    <xf numFmtId="0" fontId="11" fillId="11" borderId="16" xfId="0" applyFont="1" applyFill="1" applyBorder="1" applyAlignment="1">
      <alignment horizontal="center" wrapText="1"/>
    </xf>
    <xf numFmtId="0" fontId="11" fillId="11" borderId="17" xfId="0" applyFont="1" applyFill="1" applyBorder="1" applyAlignment="1">
      <alignment horizontal="center" wrapText="1"/>
    </xf>
    <xf numFmtId="1" fontId="11" fillId="11" borderId="5" xfId="0" applyNumberFormat="1" applyFont="1" applyFill="1" applyBorder="1" applyAlignment="1">
      <alignment horizontal="center" vertical="center" wrapText="1"/>
    </xf>
    <xf numFmtId="1" fontId="11" fillId="11" borderId="6" xfId="0" applyNumberFormat="1" applyFont="1" applyFill="1" applyBorder="1" applyAlignment="1">
      <alignment horizontal="center" vertical="center" wrapText="1"/>
    </xf>
    <xf numFmtId="164" fontId="12" fillId="11" borderId="16" xfId="0" applyNumberFormat="1" applyFont="1" applyFill="1" applyBorder="1"/>
    <xf numFmtId="0" fontId="12" fillId="11" borderId="16" xfId="0" applyFont="1" applyFill="1" applyBorder="1"/>
    <xf numFmtId="0" fontId="12" fillId="11" borderId="17" xfId="0" applyFont="1" applyFill="1" applyBorder="1"/>
    <xf numFmtId="164" fontId="2" fillId="5" borderId="16" xfId="0" applyNumberFormat="1"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11" fillId="11" borderId="0" xfId="0" applyFont="1" applyFill="1" applyAlignment="1">
      <alignment horizontal="center" vertical="center" wrapText="1"/>
    </xf>
    <xf numFmtId="9" fontId="0" fillId="0" borderId="3" xfId="2" applyFont="1" applyFill="1" applyBorder="1" applyAlignment="1" applyProtection="1">
      <alignment horizontal="center"/>
      <protection locked="0"/>
    </xf>
    <xf numFmtId="0" fontId="0" fillId="8" borderId="3" xfId="0" applyFill="1" applyBorder="1" applyAlignment="1">
      <alignment horizontal="center"/>
    </xf>
    <xf numFmtId="0" fontId="0" fillId="0" borderId="15" xfId="0" applyBorder="1"/>
    <xf numFmtId="165" fontId="0" fillId="0" borderId="16" xfId="1" applyNumberFormat="1" applyFont="1" applyFill="1" applyBorder="1" applyAlignment="1" applyProtection="1">
      <alignment horizontal="center"/>
      <protection locked="0"/>
    </xf>
    <xf numFmtId="0" fontId="0" fillId="14" borderId="2" xfId="0" applyFill="1" applyBorder="1"/>
    <xf numFmtId="0" fontId="14" fillId="5" borderId="16" xfId="0" applyFont="1" applyFill="1" applyBorder="1"/>
    <xf numFmtId="0" fontId="14" fillId="5" borderId="17" xfId="0" applyFont="1" applyFill="1" applyBorder="1"/>
    <xf numFmtId="0" fontId="8" fillId="5" borderId="1" xfId="0" applyFont="1" applyFill="1" applyBorder="1"/>
    <xf numFmtId="10" fontId="0" fillId="5" borderId="1" xfId="0" applyNumberFormat="1" applyFill="1" applyBorder="1"/>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8" fillId="11" borderId="2" xfId="0" applyFont="1" applyFill="1" applyBorder="1" applyAlignment="1">
      <alignment vertical="center"/>
    </xf>
    <xf numFmtId="0" fontId="17" fillId="11" borderId="2" xfId="0" applyFont="1" applyFill="1" applyBorder="1" applyAlignment="1">
      <alignment horizontal="left" vertical="center"/>
    </xf>
    <xf numFmtId="0" fontId="0" fillId="15" borderId="16" xfId="0" applyFill="1" applyBorder="1"/>
    <xf numFmtId="0" fontId="12" fillId="15" borderId="16" xfId="0" applyFont="1" applyFill="1" applyBorder="1"/>
    <xf numFmtId="0" fontId="17" fillId="15" borderId="2" xfId="0" applyFont="1" applyFill="1" applyBorder="1" applyAlignment="1">
      <alignment vertical="center"/>
    </xf>
    <xf numFmtId="0" fontId="6" fillId="15" borderId="16" xfId="0" applyFont="1" applyFill="1" applyBorder="1"/>
    <xf numFmtId="0" fontId="0" fillId="15" borderId="17" xfId="0" applyFill="1" applyBorder="1"/>
    <xf numFmtId="0" fontId="12" fillId="15" borderId="4" xfId="0" applyFont="1" applyFill="1" applyBorder="1"/>
    <xf numFmtId="0" fontId="12" fillId="15" borderId="14" xfId="0" applyFont="1" applyFill="1" applyBorder="1"/>
    <xf numFmtId="0" fontId="11" fillId="15" borderId="16" xfId="0" applyFont="1" applyFill="1" applyBorder="1" applyAlignment="1">
      <alignment horizontal="center" wrapText="1"/>
    </xf>
    <xf numFmtId="0" fontId="12" fillId="15" borderId="14" xfId="0" applyFont="1" applyFill="1" applyBorder="1" applyAlignment="1">
      <alignment wrapText="1"/>
    </xf>
    <xf numFmtId="0" fontId="12" fillId="15" borderId="9" xfId="0" applyFont="1" applyFill="1" applyBorder="1"/>
    <xf numFmtId="0" fontId="11" fillId="15" borderId="15" xfId="0" applyFont="1" applyFill="1" applyBorder="1" applyAlignment="1">
      <alignment horizontal="center"/>
    </xf>
    <xf numFmtId="0" fontId="11" fillId="15" borderId="15" xfId="0" applyFont="1" applyFill="1" applyBorder="1" applyAlignment="1">
      <alignment horizontal="center" wrapText="1"/>
    </xf>
    <xf numFmtId="0" fontId="12" fillId="15" borderId="13" xfId="0" applyFont="1" applyFill="1" applyBorder="1"/>
    <xf numFmtId="0" fontId="12" fillId="15" borderId="3" xfId="0" applyFont="1" applyFill="1" applyBorder="1"/>
    <xf numFmtId="0" fontId="12" fillId="15" borderId="18" xfId="0" applyFont="1" applyFill="1" applyBorder="1"/>
    <xf numFmtId="0" fontId="12" fillId="15" borderId="10" xfId="0" applyFont="1" applyFill="1" applyBorder="1"/>
    <xf numFmtId="0" fontId="12" fillId="15" borderId="0" xfId="0" applyFont="1" applyFill="1"/>
    <xf numFmtId="0" fontId="12" fillId="15" borderId="11" xfId="0" applyFont="1" applyFill="1" applyBorder="1"/>
    <xf numFmtId="0" fontId="11" fillId="15" borderId="0" xfId="0" applyFont="1" applyFill="1" applyAlignment="1">
      <alignment horizontal="center"/>
    </xf>
    <xf numFmtId="0" fontId="11" fillId="15" borderId="12" xfId="0" applyFont="1" applyFill="1" applyBorder="1" applyAlignment="1">
      <alignment horizontal="center"/>
    </xf>
    <xf numFmtId="0" fontId="11" fillId="15" borderId="13" xfId="0" applyFont="1" applyFill="1" applyBorder="1" applyAlignment="1">
      <alignment horizontal="center"/>
    </xf>
    <xf numFmtId="0" fontId="12" fillId="15" borderId="12" xfId="0" applyFont="1" applyFill="1" applyBorder="1"/>
    <xf numFmtId="0" fontId="12" fillId="15" borderId="8" xfId="0" applyFont="1" applyFill="1" applyBorder="1"/>
    <xf numFmtId="0" fontId="11" fillId="15" borderId="2" xfId="0" applyFont="1" applyFill="1" applyBorder="1"/>
    <xf numFmtId="164" fontId="11" fillId="15" borderId="16" xfId="0" applyNumberFormat="1" applyFont="1" applyFill="1" applyBorder="1" applyAlignment="1">
      <alignment horizontal="center"/>
    </xf>
    <xf numFmtId="0" fontId="12" fillId="15" borderId="17" xfId="0" applyFont="1" applyFill="1" applyBorder="1"/>
    <xf numFmtId="0" fontId="11" fillId="15" borderId="13" xfId="0" applyFont="1" applyFill="1" applyBorder="1" applyAlignment="1">
      <alignment horizontal="center" wrapText="1"/>
    </xf>
    <xf numFmtId="164" fontId="12" fillId="15" borderId="1" xfId="0" applyNumberFormat="1" applyFont="1" applyFill="1" applyBorder="1"/>
    <xf numFmtId="164" fontId="11" fillId="15" borderId="1" xfId="0" applyNumberFormat="1" applyFont="1" applyFill="1" applyBorder="1" applyAlignment="1">
      <alignment horizontal="center"/>
    </xf>
    <xf numFmtId="168" fontId="11" fillId="15" borderId="1" xfId="0" applyNumberFormat="1" applyFont="1" applyFill="1" applyBorder="1" applyAlignment="1">
      <alignment horizontal="center"/>
    </xf>
    <xf numFmtId="164" fontId="12" fillId="15" borderId="3" xfId="0" applyNumberFormat="1" applyFont="1" applyFill="1" applyBorder="1"/>
    <xf numFmtId="164" fontId="11" fillId="15" borderId="1" xfId="0" applyNumberFormat="1" applyFont="1" applyFill="1" applyBorder="1" applyAlignment="1">
      <alignment horizontal="center" wrapText="1"/>
    </xf>
    <xf numFmtId="0" fontId="11" fillId="15" borderId="1" xfId="0" applyFont="1" applyFill="1" applyBorder="1" applyAlignment="1">
      <alignment horizontal="center" wrapText="1"/>
    </xf>
    <xf numFmtId="0" fontId="11" fillId="15" borderId="8" xfId="0" applyFont="1" applyFill="1" applyBorder="1"/>
    <xf numFmtId="0" fontId="11" fillId="15" borderId="8" xfId="0" applyFont="1" applyFill="1" applyBorder="1" applyAlignment="1">
      <alignment horizontal="center" wrapText="1"/>
    </xf>
    <xf numFmtId="0" fontId="11" fillId="15" borderId="2" xfId="0" applyFont="1" applyFill="1" applyBorder="1" applyAlignment="1">
      <alignment horizontal="center" wrapText="1"/>
    </xf>
    <xf numFmtId="0" fontId="12" fillId="15" borderId="1" xfId="0" applyFont="1" applyFill="1" applyBorder="1"/>
    <xf numFmtId="0" fontId="11" fillId="15" borderId="12" xfId="0" applyFont="1" applyFill="1" applyBorder="1" applyAlignment="1">
      <alignment horizontal="center" wrapText="1"/>
    </xf>
    <xf numFmtId="0" fontId="11" fillId="15" borderId="17" xfId="0" applyFont="1" applyFill="1" applyBorder="1" applyAlignment="1">
      <alignment horizontal="center" wrapText="1"/>
    </xf>
    <xf numFmtId="0" fontId="0" fillId="15" borderId="2" xfId="0" applyFill="1" applyBorder="1"/>
    <xf numFmtId="0" fontId="0" fillId="5" borderId="10" xfId="0" applyFill="1" applyBorder="1" applyAlignment="1">
      <alignment vertical="center" wrapText="1"/>
    </xf>
    <xf numFmtId="164" fontId="0" fillId="5" borderId="14" xfId="0" applyNumberFormat="1" applyFill="1" applyBorder="1"/>
    <xf numFmtId="0" fontId="16" fillId="15" borderId="2" xfId="0" applyFont="1" applyFill="1" applyBorder="1" applyAlignment="1">
      <alignment horizontal="left" vertical="center"/>
    </xf>
    <xf numFmtId="164" fontId="11" fillId="15" borderId="14" xfId="0" applyNumberFormat="1" applyFont="1" applyFill="1" applyBorder="1" applyAlignment="1">
      <alignment horizontal="center" wrapText="1"/>
    </xf>
    <xf numFmtId="0" fontId="11" fillId="15" borderId="9" xfId="0" applyFont="1" applyFill="1" applyBorder="1" applyAlignment="1">
      <alignment horizontal="center" wrapText="1"/>
    </xf>
    <xf numFmtId="164" fontId="12" fillId="15" borderId="14" xfId="0" applyNumberFormat="1" applyFont="1" applyFill="1" applyBorder="1"/>
    <xf numFmtId="0" fontId="11" fillId="15" borderId="14" xfId="0" applyFont="1" applyFill="1" applyBorder="1" applyAlignment="1">
      <alignment horizontal="center"/>
    </xf>
    <xf numFmtId="0" fontId="11" fillId="15" borderId="0" xfId="0" applyFont="1" applyFill="1" applyAlignment="1">
      <alignment horizontal="center" wrapText="1"/>
    </xf>
    <xf numFmtId="0" fontId="19" fillId="15" borderId="4" xfId="0" applyFont="1" applyFill="1" applyBorder="1" applyAlignment="1">
      <alignment vertical="center"/>
    </xf>
    <xf numFmtId="167" fontId="0" fillId="5" borderId="1" xfId="2" applyNumberFormat="1" applyFont="1" applyFill="1" applyBorder="1" applyAlignment="1">
      <alignment horizontal="center"/>
    </xf>
    <xf numFmtId="0" fontId="11" fillId="15" borderId="9" xfId="0" applyFont="1" applyFill="1" applyBorder="1" applyAlignment="1">
      <alignment horizontal="center"/>
    </xf>
    <xf numFmtId="0" fontId="2" fillId="5" borderId="16" xfId="0" applyFont="1" applyFill="1" applyBorder="1"/>
    <xf numFmtId="0" fontId="16" fillId="15" borderId="12" xfId="0" applyFont="1" applyFill="1" applyBorder="1" applyAlignment="1">
      <alignment vertical="top"/>
    </xf>
    <xf numFmtId="0" fontId="3" fillId="6" borderId="2" xfId="0" applyFont="1" applyFill="1" applyBorder="1"/>
    <xf numFmtId="0" fontId="3" fillId="3" borderId="2" xfId="0" applyFont="1" applyFill="1" applyBorder="1"/>
    <xf numFmtId="0" fontId="19" fillId="15" borderId="2" xfId="0" applyFont="1" applyFill="1" applyBorder="1"/>
    <xf numFmtId="0" fontId="19" fillId="15" borderId="2" xfId="0" applyFont="1" applyFill="1" applyBorder="1" applyAlignment="1">
      <alignment vertical="center"/>
    </xf>
    <xf numFmtId="0" fontId="3" fillId="6" borderId="2" xfId="0" applyFont="1" applyFill="1" applyBorder="1" applyAlignment="1">
      <alignment vertical="center"/>
    </xf>
    <xf numFmtId="0" fontId="19" fillId="15" borderId="12" xfId="0" applyFont="1" applyFill="1" applyBorder="1" applyAlignment="1">
      <alignment vertical="center"/>
    </xf>
    <xf numFmtId="0" fontId="11" fillId="15" borderId="12" xfId="0" applyFont="1" applyFill="1" applyBorder="1" applyAlignment="1">
      <alignment horizontal="left" vertical="center" wrapText="1"/>
    </xf>
    <xf numFmtId="0" fontId="19" fillId="11" borderId="2" xfId="0" applyFont="1" applyFill="1" applyBorder="1"/>
    <xf numFmtId="0" fontId="3" fillId="6" borderId="2" xfId="0" applyFont="1" applyFill="1" applyBorder="1" applyAlignment="1">
      <alignment wrapText="1"/>
    </xf>
    <xf numFmtId="10" fontId="0" fillId="0" borderId="0" xfId="0" applyNumberFormat="1" applyAlignment="1">
      <alignment vertical="top"/>
    </xf>
    <xf numFmtId="10" fontId="2" fillId="5" borderId="12" xfId="2" applyNumberFormat="1" applyFont="1" applyFill="1" applyBorder="1"/>
    <xf numFmtId="10" fontId="2" fillId="5" borderId="13" xfId="2" applyNumberFormat="1" applyFont="1" applyFill="1" applyBorder="1"/>
    <xf numFmtId="0" fontId="19" fillId="0" borderId="0" xfId="0" applyFont="1" applyAlignment="1">
      <alignment wrapText="1"/>
    </xf>
    <xf numFmtId="0" fontId="0" fillId="0" borderId="1" xfId="0" quotePrefix="1" applyBorder="1" applyAlignment="1">
      <alignment horizontal="left" vertical="center" wrapText="1"/>
    </xf>
    <xf numFmtId="0" fontId="2" fillId="0" borderId="1" xfId="0" applyFont="1" applyBorder="1" applyAlignment="1">
      <alignment vertical="center" wrapText="1"/>
    </xf>
    <xf numFmtId="164" fontId="0" fillId="0" borderId="1" xfId="0" applyNumberFormat="1" applyBorder="1" applyAlignment="1" applyProtection="1">
      <alignment horizontal="left"/>
      <protection locked="0"/>
    </xf>
    <xf numFmtId="10" fontId="2" fillId="5" borderId="2" xfId="2" applyNumberFormat="1" applyFont="1" applyFill="1" applyBorder="1"/>
    <xf numFmtId="10" fontId="2" fillId="5" borderId="17" xfId="2" applyNumberFormat="1" applyFont="1" applyFill="1" applyBorder="1"/>
    <xf numFmtId="10" fontId="0" fillId="5" borderId="1" xfId="2" applyNumberFormat="1" applyFont="1" applyFill="1" applyBorder="1"/>
    <xf numFmtId="169" fontId="0" fillId="5" borderId="13" xfId="1" applyNumberFormat="1" applyFont="1" applyFill="1" applyBorder="1"/>
    <xf numFmtId="10" fontId="0" fillId="0" borderId="1" xfId="2" applyNumberFormat="1" applyFont="1" applyBorder="1" applyProtection="1">
      <protection locked="0"/>
    </xf>
    <xf numFmtId="10" fontId="0" fillId="0" borderId="1" xfId="0" applyNumberFormat="1" applyBorder="1" applyProtection="1">
      <protection locked="0"/>
    </xf>
    <xf numFmtId="9" fontId="0" fillId="0" borderId="1" xfId="2" applyFont="1" applyFill="1" applyBorder="1" applyAlignment="1" applyProtection="1">
      <alignment horizontal="center" vertical="center"/>
      <protection locked="0"/>
    </xf>
    <xf numFmtId="164" fontId="0" fillId="0" borderId="1" xfId="2" applyNumberFormat="1" applyFont="1" applyFill="1" applyBorder="1" applyAlignment="1" applyProtection="1">
      <alignment horizontal="center"/>
      <protection locked="0"/>
    </xf>
    <xf numFmtId="9" fontId="0" fillId="0" borderId="1" xfId="2" applyFont="1" applyFill="1" applyBorder="1" applyProtection="1">
      <protection locked="0"/>
    </xf>
    <xf numFmtId="9" fontId="0" fillId="0" borderId="3" xfId="2" applyFont="1" applyFill="1" applyBorder="1" applyProtection="1">
      <protection locked="0"/>
    </xf>
    <xf numFmtId="164" fontId="0" fillId="5" borderId="16" xfId="2" applyNumberFormat="1" applyFont="1" applyFill="1" applyBorder="1" applyProtection="1"/>
    <xf numFmtId="167" fontId="0" fillId="5" borderId="4" xfId="2" applyNumberFormat="1" applyFont="1" applyFill="1" applyBorder="1" applyProtection="1"/>
    <xf numFmtId="164" fontId="5" fillId="5" borderId="16" xfId="1" applyNumberFormat="1" applyFont="1" applyFill="1" applyBorder="1" applyProtection="1"/>
    <xf numFmtId="169" fontId="0" fillId="5" borderId="17" xfId="1" applyNumberFormat="1" applyFont="1" applyFill="1" applyBorder="1" applyProtection="1"/>
    <xf numFmtId="164" fontId="5" fillId="5" borderId="3" xfId="0" applyNumberFormat="1" applyFont="1" applyFill="1" applyBorder="1"/>
    <xf numFmtId="169" fontId="0" fillId="5" borderId="14" xfId="1" applyNumberFormat="1" applyFont="1" applyFill="1" applyBorder="1" applyProtection="1"/>
    <xf numFmtId="164" fontId="5" fillId="5" borderId="9" xfId="0" applyNumberFormat="1" applyFont="1" applyFill="1" applyBorder="1"/>
    <xf numFmtId="168" fontId="5" fillId="5" borderId="15" xfId="0" applyNumberFormat="1" applyFont="1" applyFill="1" applyBorder="1" applyAlignment="1">
      <alignment vertical="center"/>
    </xf>
    <xf numFmtId="9" fontId="12" fillId="15" borderId="16" xfId="2" applyFont="1" applyFill="1" applyBorder="1" applyProtection="1"/>
    <xf numFmtId="169" fontId="12" fillId="15" borderId="16" xfId="1" applyNumberFormat="1" applyFont="1" applyFill="1" applyBorder="1" applyProtection="1"/>
    <xf numFmtId="9" fontId="0" fillId="5" borderId="0" xfId="2" applyFont="1" applyFill="1" applyBorder="1" applyProtection="1"/>
    <xf numFmtId="169" fontId="2" fillId="5" borderId="0" xfId="1" applyNumberFormat="1" applyFont="1" applyFill="1" applyBorder="1" applyAlignment="1" applyProtection="1">
      <alignment horizontal="center" vertical="center"/>
    </xf>
    <xf numFmtId="169" fontId="0" fillId="5" borderId="0" xfId="1" applyNumberFormat="1" applyFont="1" applyFill="1" applyBorder="1" applyProtection="1"/>
    <xf numFmtId="164" fontId="0" fillId="5" borderId="3" xfId="0" applyNumberFormat="1" applyFill="1" applyBorder="1" applyAlignment="1">
      <alignment wrapText="1"/>
    </xf>
    <xf numFmtId="165" fontId="2" fillId="5" borderId="0" xfId="1" applyNumberFormat="1" applyFont="1" applyFill="1" applyBorder="1" applyAlignment="1" applyProtection="1">
      <alignment horizontal="center" vertical="center"/>
    </xf>
    <xf numFmtId="164" fontId="0" fillId="5" borderId="1" xfId="1" applyNumberFormat="1" applyFont="1" applyFill="1" applyBorder="1" applyProtection="1"/>
    <xf numFmtId="0" fontId="2" fillId="5" borderId="10" xfId="0" applyFont="1" applyFill="1" applyBorder="1" applyAlignment="1">
      <alignment horizontal="left" vertical="center"/>
    </xf>
    <xf numFmtId="164" fontId="2" fillId="5" borderId="0" xfId="0" applyNumberFormat="1" applyFont="1" applyFill="1" applyAlignment="1">
      <alignment horizontal="left" vertical="center"/>
    </xf>
    <xf numFmtId="164" fontId="2" fillId="5" borderId="1" xfId="1" applyNumberFormat="1" applyFont="1" applyFill="1" applyBorder="1" applyAlignment="1" applyProtection="1">
      <alignment horizontal="right" vertical="center"/>
    </xf>
    <xf numFmtId="164" fontId="2" fillId="5" borderId="11"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9" fontId="0" fillId="8" borderId="16" xfId="2" applyFont="1" applyFill="1" applyBorder="1" applyProtection="1"/>
    <xf numFmtId="169" fontId="0" fillId="8" borderId="16" xfId="1" applyNumberFormat="1" applyFont="1" applyFill="1" applyBorder="1" applyProtection="1"/>
    <xf numFmtId="0" fontId="11" fillId="15" borderId="2" xfId="0" applyFont="1" applyFill="1" applyBorder="1" applyAlignment="1">
      <alignment vertical="center"/>
    </xf>
    <xf numFmtId="0" fontId="12" fillId="15" borderId="16" xfId="0" applyFont="1" applyFill="1" applyBorder="1" applyAlignment="1">
      <alignment vertical="center"/>
    </xf>
    <xf numFmtId="6" fontId="12" fillId="15" borderId="16" xfId="0" applyNumberFormat="1" applyFont="1" applyFill="1" applyBorder="1" applyAlignment="1">
      <alignment vertical="center"/>
    </xf>
    <xf numFmtId="6" fontId="12" fillId="15" borderId="17" xfId="0" applyNumberFormat="1" applyFont="1" applyFill="1" applyBorder="1" applyAlignment="1">
      <alignment vertical="center"/>
    </xf>
    <xf numFmtId="164" fontId="2" fillId="5" borderId="1" xfId="0" applyNumberFormat="1" applyFont="1" applyFill="1" applyBorder="1"/>
    <xf numFmtId="0" fontId="2" fillId="5" borderId="11" xfId="0" applyFont="1" applyFill="1" applyBorder="1"/>
    <xf numFmtId="164" fontId="2" fillId="5" borderId="9" xfId="0" applyNumberFormat="1" applyFont="1" applyFill="1" applyBorder="1"/>
    <xf numFmtId="0" fontId="11" fillId="15" borderId="16" xfId="0" applyFont="1" applyFill="1" applyBorder="1"/>
    <xf numFmtId="164" fontId="11" fillId="15" borderId="17" xfId="0" applyNumberFormat="1" applyFont="1" applyFill="1" applyBorder="1"/>
    <xf numFmtId="0" fontId="11" fillId="15" borderId="17" xfId="0" applyFont="1" applyFill="1" applyBorder="1"/>
    <xf numFmtId="164" fontId="2" fillId="5" borderId="11" xfId="0" applyNumberFormat="1" applyFont="1" applyFill="1" applyBorder="1"/>
    <xf numFmtId="164" fontId="2" fillId="5" borderId="0" xfId="0" applyNumberFormat="1" applyFont="1" applyFill="1"/>
    <xf numFmtId="0" fontId="2" fillId="5" borderId="12" xfId="0" applyFont="1" applyFill="1" applyBorder="1"/>
    <xf numFmtId="164" fontId="2" fillId="5" borderId="13" xfId="0" applyNumberFormat="1" applyFont="1" applyFill="1" applyBorder="1"/>
    <xf numFmtId="0" fontId="11" fillId="15" borderId="11" xfId="0" applyFont="1" applyFill="1" applyBorder="1" applyAlignment="1">
      <alignment horizontal="center" wrapText="1"/>
    </xf>
    <xf numFmtId="164" fontId="0" fillId="4" borderId="1" xfId="1" applyNumberFormat="1" applyFont="1" applyFill="1" applyBorder="1" applyAlignment="1" applyProtection="1">
      <alignment horizontal="right"/>
    </xf>
    <xf numFmtId="164" fontId="0" fillId="4" borderId="1" xfId="0" applyNumberFormat="1" applyFill="1" applyBorder="1"/>
    <xf numFmtId="167" fontId="0" fillId="4" borderId="1" xfId="2" applyNumberFormat="1" applyFont="1" applyFill="1" applyBorder="1" applyProtection="1"/>
    <xf numFmtId="164" fontId="0" fillId="4" borderId="15" xfId="0" applyNumberFormat="1" applyFill="1" applyBorder="1"/>
    <xf numFmtId="167" fontId="0" fillId="4" borderId="13" xfId="2" applyNumberFormat="1" applyFont="1" applyFill="1" applyBorder="1" applyProtection="1"/>
    <xf numFmtId="0" fontId="3" fillId="3" borderId="2" xfId="0" applyFont="1" applyFill="1" applyBorder="1" applyAlignment="1">
      <alignment vertical="center"/>
    </xf>
    <xf numFmtId="169" fontId="2" fillId="3" borderId="16" xfId="0" applyNumberFormat="1" applyFont="1" applyFill="1" applyBorder="1"/>
    <xf numFmtId="164" fontId="2" fillId="3" borderId="16" xfId="0" applyNumberFormat="1" applyFont="1" applyFill="1" applyBorder="1"/>
    <xf numFmtId="0" fontId="0" fillId="3" borderId="16" xfId="0" applyFill="1" applyBorder="1"/>
    <xf numFmtId="167" fontId="2" fillId="3" borderId="17" xfId="2" applyNumberFormat="1" applyFont="1" applyFill="1" applyBorder="1" applyProtection="1"/>
    <xf numFmtId="169" fontId="2" fillId="0" borderId="0" xfId="0" applyNumberFormat="1" applyFont="1"/>
    <xf numFmtId="0" fontId="3" fillId="5" borderId="2" xfId="0" applyFont="1" applyFill="1" applyBorder="1" applyAlignment="1">
      <alignment vertical="center"/>
    </xf>
    <xf numFmtId="164" fontId="2" fillId="5" borderId="16" xfId="0" applyNumberFormat="1" applyFont="1" applyFill="1" applyBorder="1"/>
    <xf numFmtId="169" fontId="2" fillId="5" borderId="16" xfId="0" applyNumberFormat="1" applyFont="1" applyFill="1" applyBorder="1"/>
    <xf numFmtId="167" fontId="2" fillId="5" borderId="17" xfId="2" applyNumberFormat="1" applyFont="1" applyFill="1" applyBorder="1" applyProtection="1"/>
    <xf numFmtId="164" fontId="5" fillId="0" borderId="0" xfId="0" applyNumberFormat="1" applyFont="1"/>
    <xf numFmtId="168" fontId="5" fillId="0" borderId="0" xfId="0" applyNumberFormat="1" applyFont="1"/>
    <xf numFmtId="0" fontId="4" fillId="0" borderId="0" xfId="0" applyFont="1"/>
    <xf numFmtId="0" fontId="3" fillId="5" borderId="2" xfId="0" applyFont="1" applyFill="1" applyBorder="1"/>
    <xf numFmtId="168" fontId="0" fillId="5" borderId="16" xfId="0" applyNumberFormat="1" applyFill="1" applyBorder="1"/>
    <xf numFmtId="164" fontId="0" fillId="5" borderId="16" xfId="0" applyNumberFormat="1" applyFill="1" applyBorder="1"/>
    <xf numFmtId="164" fontId="0" fillId="3" borderId="2" xfId="0" applyNumberFormat="1" applyFill="1" applyBorder="1"/>
    <xf numFmtId="168" fontId="0" fillId="3" borderId="16" xfId="0" applyNumberFormat="1" applyFill="1" applyBorder="1"/>
    <xf numFmtId="168" fontId="2" fillId="6" borderId="16" xfId="0" applyNumberFormat="1" applyFont="1" applyFill="1" applyBorder="1"/>
    <xf numFmtId="0" fontId="16" fillId="15" borderId="2" xfId="0" applyFont="1" applyFill="1" applyBorder="1" applyAlignment="1">
      <alignment vertical="center"/>
    </xf>
    <xf numFmtId="164" fontId="11" fillId="15" borderId="16" xfId="0" applyNumberFormat="1" applyFont="1" applyFill="1" applyBorder="1" applyAlignment="1">
      <alignment horizontal="center" wrapText="1"/>
    </xf>
    <xf numFmtId="167" fontId="0" fillId="5" borderId="14" xfId="2" applyNumberFormat="1" applyFont="1" applyFill="1" applyBorder="1" applyAlignment="1" applyProtection="1">
      <alignment horizontal="center"/>
    </xf>
    <xf numFmtId="168" fontId="0" fillId="5" borderId="0" xfId="0" applyNumberFormat="1" applyFill="1"/>
    <xf numFmtId="164" fontId="0" fillId="5" borderId="0" xfId="0" applyNumberFormat="1" applyFill="1" applyAlignment="1">
      <alignment horizontal="center"/>
    </xf>
    <xf numFmtId="0" fontId="4" fillId="5" borderId="10" xfId="0" applyFont="1" applyFill="1" applyBorder="1"/>
    <xf numFmtId="167" fontId="0" fillId="5" borderId="0" xfId="2" applyNumberFormat="1" applyFont="1" applyFill="1" applyBorder="1" applyProtection="1"/>
    <xf numFmtId="164" fontId="0" fillId="5" borderId="15" xfId="0" applyNumberFormat="1" applyFill="1" applyBorder="1"/>
    <xf numFmtId="0" fontId="0" fillId="5" borderId="15" xfId="0" applyFill="1" applyBorder="1"/>
    <xf numFmtId="169" fontId="4" fillId="5" borderId="15" xfId="1" applyNumberFormat="1" applyFont="1" applyFill="1" applyBorder="1" applyProtection="1"/>
    <xf numFmtId="169" fontId="0" fillId="0" borderId="0" xfId="1" applyNumberFormat="1" applyFont="1" applyFill="1" applyBorder="1" applyProtection="1"/>
    <xf numFmtId="168" fontId="5" fillId="3" borderId="16" xfId="0" applyNumberFormat="1" applyFont="1" applyFill="1" applyBorder="1"/>
    <xf numFmtId="169" fontId="0" fillId="3" borderId="16" xfId="1" applyNumberFormat="1" applyFont="1" applyFill="1" applyBorder="1" applyProtection="1"/>
    <xf numFmtId="0" fontId="0" fillId="3" borderId="17" xfId="0" applyFill="1" applyBorder="1"/>
    <xf numFmtId="168" fontId="12" fillId="15" borderId="16" xfId="0" applyNumberFormat="1" applyFont="1" applyFill="1" applyBorder="1"/>
    <xf numFmtId="164" fontId="12" fillId="15" borderId="16" xfId="0" applyNumberFormat="1" applyFont="1" applyFill="1" applyBorder="1"/>
    <xf numFmtId="0" fontId="11" fillId="15" borderId="1" xfId="0" applyFont="1" applyFill="1" applyBorder="1" applyAlignment="1">
      <alignment horizontal="center"/>
    </xf>
    <xf numFmtId="164" fontId="5" fillId="5" borderId="0" xfId="0" applyNumberFormat="1" applyFont="1" applyFill="1"/>
    <xf numFmtId="168" fontId="5" fillId="5" borderId="0" xfId="0" applyNumberFormat="1" applyFont="1" applyFill="1"/>
    <xf numFmtId="169" fontId="0" fillId="5" borderId="0" xfId="1" applyNumberFormat="1" applyFont="1" applyFill="1" applyBorder="1" applyAlignment="1" applyProtection="1">
      <alignment wrapText="1"/>
    </xf>
    <xf numFmtId="164" fontId="2" fillId="5" borderId="18" xfId="0" applyNumberFormat="1" applyFont="1" applyFill="1" applyBorder="1"/>
    <xf numFmtId="0" fontId="2" fillId="5" borderId="2" xfId="0" applyFont="1" applyFill="1" applyBorder="1"/>
    <xf numFmtId="169" fontId="0" fillId="5" borderId="16" xfId="1" applyNumberFormat="1" applyFont="1" applyFill="1" applyBorder="1" applyProtection="1"/>
    <xf numFmtId="164" fontId="2" fillId="5" borderId="17" xfId="0" applyNumberFormat="1" applyFont="1" applyFill="1" applyBorder="1"/>
    <xf numFmtId="164" fontId="2" fillId="5" borderId="8" xfId="0" applyNumberFormat="1" applyFont="1" applyFill="1" applyBorder="1"/>
    <xf numFmtId="169" fontId="2" fillId="5" borderId="16" xfId="1" applyNumberFormat="1" applyFont="1" applyFill="1" applyBorder="1" applyProtection="1"/>
    <xf numFmtId="164" fontId="2" fillId="5" borderId="15" xfId="0" applyNumberFormat="1" applyFont="1" applyFill="1" applyBorder="1"/>
    <xf numFmtId="169" fontId="0" fillId="5" borderId="15" xfId="1" applyNumberFormat="1" applyFont="1" applyFill="1" applyBorder="1" applyProtection="1"/>
    <xf numFmtId="167" fontId="0" fillId="0" borderId="0" xfId="2" applyNumberFormat="1" applyFont="1" applyFill="1" applyBorder="1" applyProtection="1"/>
    <xf numFmtId="0" fontId="0" fillId="0" borderId="0" xfId="0" applyProtection="1">
      <protection locked="0"/>
    </xf>
    <xf numFmtId="0" fontId="17" fillId="15" borderId="16" xfId="0" applyFont="1" applyFill="1" applyBorder="1" applyAlignment="1">
      <alignment horizontal="center" vertical="center"/>
    </xf>
    <xf numFmtId="0" fontId="17" fillId="15" borderId="2" xfId="0" applyFont="1" applyFill="1" applyBorder="1" applyAlignment="1">
      <alignment horizontal="left" vertical="center"/>
    </xf>
    <xf numFmtId="0" fontId="17" fillId="15" borderId="16" xfId="0" applyFont="1" applyFill="1" applyBorder="1" applyAlignment="1">
      <alignment horizontal="left" vertical="center"/>
    </xf>
    <xf numFmtId="0" fontId="2" fillId="10" borderId="2" xfId="0" applyFont="1" applyFill="1" applyBorder="1" applyAlignment="1">
      <alignment horizontal="center" wrapText="1"/>
    </xf>
    <xf numFmtId="0" fontId="0" fillId="10" borderId="16" xfId="0" applyFill="1" applyBorder="1" applyAlignment="1">
      <alignment horizontal="center" wrapText="1"/>
    </xf>
    <xf numFmtId="0" fontId="0" fillId="10" borderId="17" xfId="0" applyFill="1" applyBorder="1" applyAlignment="1">
      <alignment horizontal="center" wrapText="1"/>
    </xf>
    <xf numFmtId="0" fontId="2" fillId="6" borderId="2" xfId="0" applyFont="1" applyFill="1" applyBorder="1"/>
    <xf numFmtId="0" fontId="0" fillId="6" borderId="16" xfId="0" applyFill="1" applyBorder="1"/>
    <xf numFmtId="0" fontId="0" fillId="6" borderId="17" xfId="0" applyFill="1" applyBorder="1"/>
    <xf numFmtId="0" fontId="3" fillId="6" borderId="2" xfId="0" applyFont="1" applyFill="1" applyBorder="1"/>
    <xf numFmtId="0" fontId="15" fillId="6" borderId="16" xfId="0" applyFont="1" applyFill="1" applyBorder="1"/>
    <xf numFmtId="0" fontId="15" fillId="6" borderId="17" xfId="0" applyFont="1" applyFill="1" applyBorder="1"/>
    <xf numFmtId="0" fontId="19" fillId="15" borderId="4"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0" fontId="0" fillId="0" borderId="13" xfId="0" applyBorder="1" applyAlignment="1">
      <alignment horizont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2" fillId="0" borderId="7" xfId="0" applyFont="1"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13" fillId="13" borderId="2" xfId="0" applyFont="1" applyFill="1" applyBorder="1" applyAlignment="1">
      <alignment vertical="top" wrapText="1"/>
    </xf>
    <xf numFmtId="0" fontId="0" fillId="13" borderId="16" xfId="0" applyFill="1" applyBorder="1" applyAlignment="1">
      <alignment vertical="top"/>
    </xf>
    <xf numFmtId="0" fontId="0" fillId="13" borderId="17" xfId="0" applyFill="1" applyBorder="1" applyAlignment="1">
      <alignment vertical="top"/>
    </xf>
    <xf numFmtId="0" fontId="0" fillId="14" borderId="4" xfId="0" applyFill="1" applyBorder="1" applyAlignment="1">
      <alignment vertical="center" wrapText="1"/>
    </xf>
    <xf numFmtId="0" fontId="0" fillId="14" borderId="14" xfId="0" applyFill="1" applyBorder="1" applyAlignment="1">
      <alignment vertical="center" wrapText="1"/>
    </xf>
    <xf numFmtId="0" fontId="0" fillId="14" borderId="9" xfId="0" applyFill="1" applyBorder="1" applyAlignment="1">
      <alignment vertical="center" wrapText="1"/>
    </xf>
    <xf numFmtId="0" fontId="0" fillId="14" borderId="12" xfId="0" applyFill="1" applyBorder="1" applyAlignment="1">
      <alignment vertical="center" wrapText="1"/>
    </xf>
    <xf numFmtId="0" fontId="0" fillId="14" borderId="15" xfId="0" applyFill="1" applyBorder="1" applyAlignment="1">
      <alignment vertical="center" wrapText="1"/>
    </xf>
    <xf numFmtId="0" fontId="0" fillId="14" borderId="13" xfId="0" applyFill="1" applyBorder="1" applyAlignment="1">
      <alignment vertical="center" wrapText="1"/>
    </xf>
    <xf numFmtId="0" fontId="0" fillId="0" borderId="4" xfId="0" applyBorder="1" applyAlignment="1">
      <alignment horizontal="left" vertical="center" wrapText="1"/>
    </xf>
    <xf numFmtId="0" fontId="0" fillId="0" borderId="14"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3" fillId="0" borderId="2" xfId="0" applyFont="1" applyBorder="1" applyAlignment="1">
      <alignment horizontal="lef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1" fillId="15" borderId="16" xfId="0" applyFont="1" applyFill="1" applyBorder="1" applyAlignment="1">
      <alignment horizontal="center" wrapText="1"/>
    </xf>
    <xf numFmtId="0" fontId="12" fillId="15" borderId="16" xfId="0" applyFont="1" applyFill="1" applyBorder="1" applyAlignment="1">
      <alignment wrapText="1"/>
    </xf>
    <xf numFmtId="0" fontId="2" fillId="0" borderId="0" xfId="0" applyFont="1" applyAlignment="1">
      <alignment horizontal="center" wrapText="1"/>
    </xf>
    <xf numFmtId="0" fontId="0" fillId="5" borderId="18" xfId="0" applyFill="1" applyBorder="1" applyAlignment="1">
      <alignment horizontal="left" vertical="center" wrapText="1"/>
    </xf>
    <xf numFmtId="0" fontId="0" fillId="0" borderId="18" xfId="0" applyBorder="1" applyAlignment="1">
      <alignment horizontal="left" vertical="center" wrapText="1"/>
    </xf>
    <xf numFmtId="0" fontId="11" fillId="15" borderId="12" xfId="0" applyFont="1" applyFill="1" applyBorder="1" applyAlignment="1">
      <alignment horizontal="center"/>
    </xf>
    <xf numFmtId="0" fontId="11" fillId="15" borderId="13" xfId="0" applyFont="1" applyFill="1" applyBorder="1" applyAlignment="1">
      <alignment horizontal="center"/>
    </xf>
    <xf numFmtId="0" fontId="16" fillId="15" borderId="12" xfId="0" applyFont="1" applyFill="1" applyBorder="1" applyAlignment="1">
      <alignment horizontal="center"/>
    </xf>
    <xf numFmtId="0" fontId="12" fillId="15" borderId="13" xfId="0" applyFont="1" applyFill="1" applyBorder="1"/>
    <xf numFmtId="0" fontId="16" fillId="15" borderId="4" xfId="0" applyFont="1" applyFill="1" applyBorder="1" applyAlignment="1">
      <alignment vertical="center" wrapText="1"/>
    </xf>
    <xf numFmtId="0" fontId="16" fillId="15" borderId="9" xfId="0" applyFont="1" applyFill="1" applyBorder="1" applyAlignment="1">
      <alignment vertical="center" wrapText="1"/>
    </xf>
    <xf numFmtId="0" fontId="16" fillId="15" borderId="12" xfId="0" applyFont="1" applyFill="1" applyBorder="1" applyAlignment="1">
      <alignment vertical="center" wrapText="1"/>
    </xf>
    <xf numFmtId="0" fontId="16" fillId="15" borderId="13" xfId="0" applyFont="1" applyFill="1" applyBorder="1" applyAlignment="1">
      <alignment vertical="center" wrapText="1"/>
    </xf>
    <xf numFmtId="0" fontId="8" fillId="5" borderId="10" xfId="0" applyFont="1" applyFill="1" applyBorder="1"/>
    <xf numFmtId="0" fontId="8" fillId="5" borderId="0" xfId="0" applyFont="1" applyFill="1"/>
    <xf numFmtId="0" fontId="0" fillId="5" borderId="0" xfId="0" applyFill="1"/>
    <xf numFmtId="0" fontId="11" fillId="15" borderId="2" xfId="0" applyFont="1" applyFill="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0" fillId="0" borderId="12" xfId="0" applyBorder="1" applyAlignment="1">
      <alignment vertical="center" wrapText="1"/>
    </xf>
    <xf numFmtId="0" fontId="0" fillId="0" borderId="15" xfId="0" applyBorder="1" applyAlignment="1">
      <alignment vertical="center" wrapText="1"/>
    </xf>
    <xf numFmtId="0" fontId="0" fillId="0" borderId="14" xfId="0" applyBorder="1" applyAlignment="1">
      <alignment horizontal="center"/>
    </xf>
    <xf numFmtId="0" fontId="0" fillId="5" borderId="9" xfId="0" applyFill="1" applyBorder="1" applyAlignment="1">
      <alignment wrapText="1"/>
    </xf>
    <xf numFmtId="0" fontId="0" fillId="5" borderId="11" xfId="0" applyFill="1" applyBorder="1"/>
    <xf numFmtId="0" fontId="8" fillId="0" borderId="0" xfId="0" applyFont="1"/>
    <xf numFmtId="9" fontId="0" fillId="5" borderId="2" xfId="2" applyFont="1" applyFill="1" applyBorder="1" applyAlignment="1"/>
    <xf numFmtId="0" fontId="0" fillId="0" borderId="16" xfId="0" applyBorder="1"/>
    <xf numFmtId="0" fontId="0" fillId="0" borderId="17" xfId="0" applyBorder="1"/>
    <xf numFmtId="0" fontId="0" fillId="15" borderId="16" xfId="0" applyFill="1" applyBorder="1" applyAlignment="1">
      <alignment vertical="top" wrapText="1"/>
    </xf>
    <xf numFmtId="0" fontId="19" fillId="15" borderId="4" xfId="0" applyFont="1" applyFill="1" applyBorder="1" applyAlignment="1">
      <alignment horizontal="center" vertical="center" wrapText="1"/>
    </xf>
    <xf numFmtId="0" fontId="19" fillId="15" borderId="14" xfId="0" applyFont="1" applyFill="1" applyBorder="1" applyAlignment="1">
      <alignment horizontal="center" vertical="center" wrapText="1"/>
    </xf>
    <xf numFmtId="0" fontId="20" fillId="15" borderId="14" xfId="0" applyFont="1" applyFill="1" applyBorder="1" applyAlignment="1">
      <alignment vertical="center" wrapText="1"/>
    </xf>
    <xf numFmtId="0" fontId="0" fillId="0" borderId="0" xfId="0"/>
    <xf numFmtId="9" fontId="2" fillId="5" borderId="1" xfId="2"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164" fontId="2" fillId="5" borderId="1" xfId="2" applyNumberFormat="1" applyFont="1" applyFill="1" applyBorder="1" applyAlignment="1" applyProtection="1">
      <alignment horizontal="center" vertical="center" wrapText="1"/>
    </xf>
    <xf numFmtId="164" fontId="4" fillId="5" borderId="1" xfId="1" applyNumberFormat="1" applyFont="1" applyFill="1" applyBorder="1" applyAlignment="1" applyProtection="1">
      <alignment horizontal="center" vertical="center"/>
    </xf>
    <xf numFmtId="0" fontId="0" fillId="0" borderId="1" xfId="0" applyBorder="1" applyAlignment="1">
      <alignment horizontal="center" vertical="center"/>
    </xf>
    <xf numFmtId="169" fontId="2" fillId="5" borderId="4" xfId="1" applyNumberFormat="1" applyFont="1" applyFill="1" applyBorder="1" applyAlignment="1">
      <alignment wrapText="1"/>
    </xf>
    <xf numFmtId="0" fontId="2" fillId="5" borderId="12" xfId="0" applyFont="1" applyFill="1" applyBorder="1" applyAlignment="1">
      <alignment wrapText="1"/>
    </xf>
    <xf numFmtId="0" fontId="2" fillId="5" borderId="13" xfId="0" applyFont="1" applyFill="1" applyBorder="1" applyAlignment="1">
      <alignment wrapText="1"/>
    </xf>
    <xf numFmtId="0" fontId="12" fillId="15" borderId="16" xfId="0" applyFont="1" applyFill="1" applyBorder="1" applyAlignment="1">
      <alignment horizontal="center"/>
    </xf>
    <xf numFmtId="0" fontId="12" fillId="15" borderId="17"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11" fillId="15" borderId="2" xfId="0" applyFont="1" applyFill="1" applyBorder="1" applyAlignment="1">
      <alignment horizontal="center" wrapText="1"/>
    </xf>
    <xf numFmtId="0" fontId="12" fillId="15" borderId="16" xfId="0" applyFont="1" applyFill="1" applyBorder="1"/>
    <xf numFmtId="164" fontId="2" fillId="5" borderId="1" xfId="2" applyNumberFormat="1" applyFont="1" applyFill="1" applyBorder="1" applyAlignment="1" applyProtection="1">
      <alignment horizontal="center" vertical="center" wrapText="1"/>
      <protection locked="0"/>
    </xf>
    <xf numFmtId="164" fontId="4" fillId="5" borderId="1" xfId="1" applyNumberFormat="1" applyFont="1" applyFill="1" applyBorder="1" applyAlignment="1">
      <alignment horizontal="center" vertical="center"/>
    </xf>
    <xf numFmtId="0" fontId="0" fillId="0" borderId="10" xfId="0" applyBorder="1" applyAlignment="1">
      <alignment vertical="center" wrapText="1"/>
    </xf>
    <xf numFmtId="0" fontId="3" fillId="6" borderId="2" xfId="0" applyFont="1" applyFill="1" applyBorder="1" applyAlignment="1">
      <alignment wrapText="1"/>
    </xf>
    <xf numFmtId="0" fontId="2" fillId="0" borderId="0" xfId="0" applyFont="1" applyAlignment="1">
      <alignment horizontal="center"/>
    </xf>
    <xf numFmtId="9" fontId="0" fillId="5" borderId="16" xfId="2" applyFont="1" applyFill="1" applyBorder="1" applyAlignment="1" applyProtection="1"/>
    <xf numFmtId="0" fontId="0" fillId="5" borderId="16" xfId="0" applyFill="1" applyBorder="1"/>
    <xf numFmtId="0" fontId="15" fillId="0" borderId="2" xfId="0" applyFont="1" applyBorder="1" applyAlignment="1">
      <alignment vertical="center" wrapText="1"/>
    </xf>
    <xf numFmtId="0" fontId="8" fillId="0" borderId="10" xfId="0" applyFont="1" applyBorder="1"/>
    <xf numFmtId="164" fontId="0" fillId="5" borderId="4" xfId="0" applyNumberFormat="1" applyFill="1" applyBorder="1" applyAlignment="1">
      <alignment vertical="center" wrapText="1"/>
    </xf>
    <xf numFmtId="0" fontId="0" fillId="5" borderId="14" xfId="0" applyFill="1" applyBorder="1" applyAlignment="1">
      <alignment vertical="center" wrapText="1"/>
    </xf>
    <xf numFmtId="0" fontId="0" fillId="5" borderId="9" xfId="0" applyFill="1" applyBorder="1" applyAlignment="1">
      <alignment vertical="center" wrapText="1"/>
    </xf>
    <xf numFmtId="0" fontId="0" fillId="5" borderId="12" xfId="0" applyFill="1" applyBorder="1" applyAlignment="1">
      <alignment vertical="center" wrapText="1"/>
    </xf>
    <xf numFmtId="0" fontId="0" fillId="5" borderId="15" xfId="0" applyFill="1" applyBorder="1" applyAlignment="1">
      <alignment vertical="center" wrapText="1"/>
    </xf>
    <xf numFmtId="0" fontId="0" fillId="5" borderId="13" xfId="0" applyFill="1" applyBorder="1" applyAlignment="1">
      <alignment vertical="center" wrapText="1"/>
    </xf>
    <xf numFmtId="0" fontId="0" fillId="0" borderId="10" xfId="0" applyBorder="1"/>
    <xf numFmtId="0" fontId="0" fillId="0" borderId="14" xfId="0" applyBorder="1"/>
    <xf numFmtId="0" fontId="0" fillId="0" borderId="3" xfId="0" applyBorder="1" applyAlignment="1">
      <alignment vertical="center" wrapText="1"/>
    </xf>
    <xf numFmtId="0" fontId="0" fillId="0" borderId="18" xfId="0" applyBorder="1" applyAlignment="1">
      <alignment vertical="center" wrapText="1"/>
    </xf>
    <xf numFmtId="0" fontId="0" fillId="0" borderId="8" xfId="0"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top" wrapText="1"/>
    </xf>
  </cellXfs>
  <cellStyles count="3">
    <cellStyle name="Comma" xfId="1" builtinId="3"/>
    <cellStyle name="Normal" xfId="0" builtinId="0"/>
    <cellStyle name="Percent" xfId="2" builtinId="5"/>
  </cellStyles>
  <dxfs count="43">
    <dxf>
      <fill>
        <patternFill>
          <bgColor theme="9" tint="0.79998168889431442"/>
        </patternFill>
      </fill>
    </dxf>
    <dxf>
      <font>
        <color rgb="FF8EA9DB"/>
      </font>
      <fill>
        <patternFill>
          <bgColor theme="4" tint="0.39994506668294322"/>
        </patternFill>
      </fill>
    </dxf>
    <dxf>
      <font>
        <color rgb="FF8EA9DB"/>
      </font>
      <fill>
        <patternFill>
          <bgColor theme="4"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8EA9DB"/>
      </font>
      <fill>
        <patternFill>
          <bgColor theme="4" tint="0.3999450666829432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right style="thin">
          <color indexed="64"/>
        </right>
        <top/>
        <bottom/>
        <vertical/>
        <horizontal/>
      </border>
    </dxf>
    <dxf>
      <numFmt numFmtId="3" formatCode="#,##0"/>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numFmt numFmtId="3"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3"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dxf>
    <dxf>
      <font>
        <b/>
        <i val="0"/>
        <strike val="0"/>
        <condense val="0"/>
        <extend val="0"/>
        <outline val="0"/>
        <shadow val="0"/>
        <u val="none"/>
        <vertAlign val="baseline"/>
        <sz val="11"/>
        <color theme="1"/>
        <name val="Calibri"/>
        <family val="2"/>
        <scheme val="minor"/>
      </font>
      <numFmt numFmtId="1" formatCode="0"/>
      <fill>
        <patternFill patternType="solid">
          <fgColor indexed="64"/>
          <bgColor theme="4" tint="0.39997558519241921"/>
        </patternFill>
      </fill>
      <alignment horizontal="left" vertical="center" textRotation="0" wrapText="1" indent="0" justifyLastLine="0" shrinkToFit="0" readingOrder="0"/>
    </dxf>
  </dxfs>
  <tableStyles count="0" defaultTableStyle="TableStyleMedium2" defaultPivotStyle="PivotStyleLight16"/>
  <colors>
    <mruColors>
      <color rgb="FF8EA9DB"/>
      <color rgb="FF305496"/>
      <color rgb="FF1F4E78"/>
      <color rgb="FFFF5050"/>
      <color rgb="FF8E74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How Your Allotment is Generated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3"/>
          <c:order val="0"/>
          <c:tx>
            <c:strRef>
              <c:f>'Lookup Table'!$L$137</c:f>
              <c:strCache>
                <c:ptCount val="1"/>
                <c:pt idx="0">
                  <c:v>Recognized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Table'!$L$138</c:f>
              <c:numCache>
                <c:formatCode>"$"#,##0</c:formatCode>
                <c:ptCount val="1"/>
                <c:pt idx="0">
                  <c:v>20382</c:v>
                </c:pt>
              </c:numCache>
            </c:numRef>
          </c:val>
          <c:extLst>
            <c:ext xmlns:c16="http://schemas.microsoft.com/office/drawing/2014/chart" uri="{C3380CC4-5D6E-409C-BE32-E72D297353CC}">
              <c16:uniqueId val="{00000000-A5F7-4E3F-AEFD-2BFFC1933CEE}"/>
            </c:ext>
          </c:extLst>
        </c:ser>
        <c:ser>
          <c:idx val="0"/>
          <c:order val="1"/>
          <c:tx>
            <c:strRef>
              <c:f>'Lookup Table'!$M$137</c:f>
              <c:strCache>
                <c:ptCount val="1"/>
                <c:pt idx="0">
                  <c:v>Exemplary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Table'!$M$138</c:f>
              <c:numCache>
                <c:formatCode>"$"#,##0</c:formatCode>
                <c:ptCount val="1"/>
                <c:pt idx="0">
                  <c:v>40761</c:v>
                </c:pt>
              </c:numCache>
            </c:numRef>
          </c:val>
          <c:extLst>
            <c:ext xmlns:c16="http://schemas.microsoft.com/office/drawing/2014/chart" uri="{C3380CC4-5D6E-409C-BE32-E72D297353CC}">
              <c16:uniqueId val="{00000001-A5F7-4E3F-AEFD-2BFFC1933CEE}"/>
            </c:ext>
          </c:extLst>
        </c:ser>
        <c:ser>
          <c:idx val="1"/>
          <c:order val="2"/>
          <c:tx>
            <c:strRef>
              <c:f>'Lookup Table'!$N$137</c:f>
              <c:strCache>
                <c:ptCount val="1"/>
                <c:pt idx="0">
                  <c:v>Master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Table'!$N$138</c:f>
              <c:numCache>
                <c:formatCode>"$"#,##0</c:formatCode>
                <c:ptCount val="1"/>
                <c:pt idx="0">
                  <c:v>24645</c:v>
                </c:pt>
              </c:numCache>
            </c:numRef>
          </c:val>
          <c:extLst>
            <c:ext xmlns:c16="http://schemas.microsoft.com/office/drawing/2014/chart" uri="{C3380CC4-5D6E-409C-BE32-E72D297353CC}">
              <c16:uniqueId val="{00000002-A5F7-4E3F-AEFD-2BFFC1933CEE}"/>
            </c:ext>
          </c:extLst>
        </c:ser>
        <c:dLbls>
          <c:showLegendKey val="0"/>
          <c:showVal val="0"/>
          <c:showCatName val="0"/>
          <c:showSerName val="0"/>
          <c:showPercent val="0"/>
          <c:showBubbleSize val="0"/>
        </c:dLbls>
        <c:gapWidth val="150"/>
        <c:overlap val="100"/>
        <c:axId val="624539792"/>
        <c:axId val="624540776"/>
      </c:barChart>
      <c:catAx>
        <c:axId val="624539792"/>
        <c:scaling>
          <c:orientation val="minMax"/>
        </c:scaling>
        <c:delete val="1"/>
        <c:axPos val="b"/>
        <c:numFmt formatCode="General" sourceLinked="1"/>
        <c:majorTickMark val="none"/>
        <c:minorTickMark val="none"/>
        <c:tickLblPos val="nextTo"/>
        <c:crossAx val="624540776"/>
        <c:crosses val="autoZero"/>
        <c:auto val="1"/>
        <c:lblAlgn val="ctr"/>
        <c:lblOffset val="100"/>
        <c:noMultiLvlLbl val="0"/>
      </c:catAx>
      <c:valAx>
        <c:axId val="624540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2453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How Your Allotment is Allocated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'Lookup Table'!$P$126</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Table'!$P$127</c:f>
              <c:numCache>
                <c:formatCode>"$"#,##0</c:formatCode>
                <c:ptCount val="1"/>
              </c:numCache>
            </c:numRef>
          </c:val>
          <c:extLst>
            <c:ext xmlns:c16="http://schemas.microsoft.com/office/drawing/2014/chart" uri="{C3380CC4-5D6E-409C-BE32-E72D297353CC}">
              <c16:uniqueId val="{00000000-6B68-47DC-8F36-DD2E59C14213}"/>
            </c:ext>
          </c:extLst>
        </c:ser>
        <c:ser>
          <c:idx val="1"/>
          <c:order val="1"/>
          <c:tx>
            <c:strRef>
              <c:f>'Lookup Table'!$O$126</c:f>
              <c:strCache>
                <c:ptCount val="1"/>
                <c:pt idx="0">
                  <c:v>10%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Table'!$O$127</c:f>
              <c:numCache>
                <c:formatCode>"$"#,##0</c:formatCode>
                <c:ptCount val="1"/>
                <c:pt idx="0">
                  <c:v>0</c:v>
                </c:pt>
              </c:numCache>
            </c:numRef>
          </c:val>
          <c:extLst>
            <c:ext xmlns:c16="http://schemas.microsoft.com/office/drawing/2014/chart" uri="{C3380CC4-5D6E-409C-BE32-E72D297353CC}">
              <c16:uniqueId val="{00000001-6B68-47DC-8F36-DD2E59C14213}"/>
            </c:ext>
          </c:extLst>
        </c:ser>
        <c:ser>
          <c:idx val="0"/>
          <c:order val="2"/>
          <c:tx>
            <c:strRef>
              <c:f>'Lookup Table'!$N$126</c:f>
              <c:strCache>
                <c:ptCount val="1"/>
                <c:pt idx="0">
                  <c:v>Other Eligible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Table'!$N$127</c:f>
              <c:numCache>
                <c:formatCode>"$"#,##0</c:formatCode>
                <c:ptCount val="1"/>
                <c:pt idx="0">
                  <c:v>0</c:v>
                </c:pt>
              </c:numCache>
            </c:numRef>
          </c:val>
          <c:extLst>
            <c:ext xmlns:c16="http://schemas.microsoft.com/office/drawing/2014/chart" uri="{C3380CC4-5D6E-409C-BE32-E72D297353CC}">
              <c16:uniqueId val="{00000002-6B68-47DC-8F36-DD2E59C14213}"/>
            </c:ext>
          </c:extLst>
        </c:ser>
        <c:ser>
          <c:idx val="3"/>
          <c:order val="3"/>
          <c:tx>
            <c:strRef>
              <c:f>'Lookup Table'!$M$126</c:f>
              <c:strCache>
                <c:ptCount val="1"/>
                <c:pt idx="0">
                  <c:v>Designated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Table'!$M$127</c:f>
              <c:numCache>
                <c:formatCode>"$"#,##0</c:formatCode>
                <c:ptCount val="1"/>
                <c:pt idx="0">
                  <c:v>0</c:v>
                </c:pt>
              </c:numCache>
            </c:numRef>
          </c:val>
          <c:extLst>
            <c:ext xmlns:c16="http://schemas.microsoft.com/office/drawing/2014/chart" uri="{C3380CC4-5D6E-409C-BE32-E72D297353CC}">
              <c16:uniqueId val="{00000003-6B68-47DC-8F36-DD2E59C14213}"/>
            </c:ext>
          </c:extLst>
        </c:ser>
        <c:dLbls>
          <c:showLegendKey val="0"/>
          <c:showVal val="0"/>
          <c:showCatName val="0"/>
          <c:showSerName val="0"/>
          <c:showPercent val="0"/>
          <c:showBubbleSize val="0"/>
        </c:dLbls>
        <c:gapWidth val="150"/>
        <c:overlap val="100"/>
        <c:axId val="624539792"/>
        <c:axId val="624540776"/>
      </c:barChart>
      <c:catAx>
        <c:axId val="624539792"/>
        <c:scaling>
          <c:orientation val="minMax"/>
        </c:scaling>
        <c:delete val="1"/>
        <c:axPos val="b"/>
        <c:numFmt formatCode="General" sourceLinked="1"/>
        <c:majorTickMark val="none"/>
        <c:minorTickMark val="none"/>
        <c:tickLblPos val="nextTo"/>
        <c:crossAx val="624540776"/>
        <c:crosses val="autoZero"/>
        <c:auto val="1"/>
        <c:lblAlgn val="ctr"/>
        <c:lblOffset val="100"/>
        <c:noMultiLvlLbl val="0"/>
      </c:catAx>
      <c:valAx>
        <c:axId val="624540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2453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Lookup Table'!$X$42" lockText="1" noThreeD="1"/>
</file>

<file path=xl/ctrlProps/ctrlProp10.xml><?xml version="1.0" encoding="utf-8"?>
<formControlPr xmlns="http://schemas.microsoft.com/office/spreadsheetml/2009/9/main" objectType="CheckBox" fmlaLink="'Lookup Table'!$Y42" lockText="1" noThreeD="1"/>
</file>

<file path=xl/ctrlProps/ctrlProp11.xml><?xml version="1.0" encoding="utf-8"?>
<formControlPr xmlns="http://schemas.microsoft.com/office/spreadsheetml/2009/9/main" objectType="CheckBox" fmlaLink="'Lookup Table'!$Y$43" lockText="1" noThreeD="1"/>
</file>

<file path=xl/ctrlProps/ctrlProp12.xml><?xml version="1.0" encoding="utf-8"?>
<formControlPr xmlns="http://schemas.microsoft.com/office/spreadsheetml/2009/9/main" objectType="CheckBox" fmlaLink="'Lookup Table'!$Y$44" lockText="1" noThreeD="1"/>
</file>

<file path=xl/ctrlProps/ctrlProp13.xml><?xml version="1.0" encoding="utf-8"?>
<formControlPr xmlns="http://schemas.microsoft.com/office/spreadsheetml/2009/9/main" objectType="CheckBox" fmlaLink="'Lookup Table'!$Y$45" lockText="1" noThreeD="1"/>
</file>

<file path=xl/ctrlProps/ctrlProp14.xml><?xml version="1.0" encoding="utf-8"?>
<formControlPr xmlns="http://schemas.microsoft.com/office/spreadsheetml/2009/9/main" objectType="CheckBox" fmlaLink="'Lookup Table'!$Y$46" lockText="1" noThreeD="1"/>
</file>

<file path=xl/ctrlProps/ctrlProp15.xml><?xml version="1.0" encoding="utf-8"?>
<formControlPr xmlns="http://schemas.microsoft.com/office/spreadsheetml/2009/9/main" objectType="CheckBox" fmlaLink="'Lookup Table'!$Y$47" lockText="1" noThreeD="1"/>
</file>

<file path=xl/ctrlProps/ctrlProp16.xml><?xml version="1.0" encoding="utf-8"?>
<formControlPr xmlns="http://schemas.microsoft.com/office/spreadsheetml/2009/9/main" objectType="CheckBox" fmlaLink="'Lookup Table'!$Y$48" lockText="1" noThreeD="1"/>
</file>

<file path=xl/ctrlProps/ctrlProp17.xml><?xml version="1.0" encoding="utf-8"?>
<formControlPr xmlns="http://schemas.microsoft.com/office/spreadsheetml/2009/9/main" objectType="CheckBox" fmlaLink="'Lookup Table'!$Y$49" lockText="1" noThreeD="1"/>
</file>

<file path=xl/ctrlProps/ctrlProp18.xml><?xml version="1.0" encoding="utf-8"?>
<formControlPr xmlns="http://schemas.microsoft.com/office/spreadsheetml/2009/9/main" objectType="CheckBox" fmlaLink="'Lookup Table'!$Y$53" lockText="1" noThreeD="1"/>
</file>

<file path=xl/ctrlProps/ctrlProp19.xml><?xml version="1.0" encoding="utf-8"?>
<formControlPr xmlns="http://schemas.microsoft.com/office/spreadsheetml/2009/9/main" objectType="CheckBox" fmlaLink="'Lookup Table'!$X$50" lockText="1" noThreeD="1"/>
</file>

<file path=xl/ctrlProps/ctrlProp2.xml><?xml version="1.0" encoding="utf-8"?>
<formControlPr xmlns="http://schemas.microsoft.com/office/spreadsheetml/2009/9/main" objectType="CheckBox" fmlaLink="'Lookup Table'!$X$43" lockText="1" noThreeD="1"/>
</file>

<file path=xl/ctrlProps/ctrlProp20.xml><?xml version="1.0" encoding="utf-8"?>
<formControlPr xmlns="http://schemas.microsoft.com/office/spreadsheetml/2009/9/main" objectType="CheckBox" fmlaLink="'Lookup Table'!$Y$50" lockText="1" noThreeD="1"/>
</file>

<file path=xl/ctrlProps/ctrlProp21.xml><?xml version="1.0" encoding="utf-8"?>
<formControlPr xmlns="http://schemas.microsoft.com/office/spreadsheetml/2009/9/main" objectType="CheckBox" fmlaLink="'Lookup Table'!$X$51" lockText="1" noThreeD="1"/>
</file>

<file path=xl/ctrlProps/ctrlProp22.xml><?xml version="1.0" encoding="utf-8"?>
<formControlPr xmlns="http://schemas.microsoft.com/office/spreadsheetml/2009/9/main" objectType="CheckBox" fmlaLink="'Lookup Table'!$X$52" lockText="1" noThreeD="1"/>
</file>

<file path=xl/ctrlProps/ctrlProp23.xml><?xml version="1.0" encoding="utf-8"?>
<formControlPr xmlns="http://schemas.microsoft.com/office/spreadsheetml/2009/9/main" objectType="CheckBox" fmlaLink="'Lookup Table'!$Y$52" lockText="1" noThreeD="1"/>
</file>

<file path=xl/ctrlProps/ctrlProp24.xml><?xml version="1.0" encoding="utf-8"?>
<formControlPr xmlns="http://schemas.microsoft.com/office/spreadsheetml/2009/9/main" objectType="CheckBox" fmlaLink="'Lookup Table'!$Y$51" lockText="1" noThreeD="1"/>
</file>

<file path=xl/ctrlProps/ctrlProp3.xml><?xml version="1.0" encoding="utf-8"?>
<formControlPr xmlns="http://schemas.microsoft.com/office/spreadsheetml/2009/9/main" objectType="CheckBox" fmlaLink="'Lookup Table'!$X$44" lockText="1" noThreeD="1"/>
</file>

<file path=xl/ctrlProps/ctrlProp4.xml><?xml version="1.0" encoding="utf-8"?>
<formControlPr xmlns="http://schemas.microsoft.com/office/spreadsheetml/2009/9/main" objectType="CheckBox" fmlaLink="'Lookup Table'!$X$45" lockText="1" noThreeD="1"/>
</file>

<file path=xl/ctrlProps/ctrlProp5.xml><?xml version="1.0" encoding="utf-8"?>
<formControlPr xmlns="http://schemas.microsoft.com/office/spreadsheetml/2009/9/main" objectType="CheckBox" fmlaLink="'Lookup Table'!$X$46" lockText="1" noThreeD="1"/>
</file>

<file path=xl/ctrlProps/ctrlProp6.xml><?xml version="1.0" encoding="utf-8"?>
<formControlPr xmlns="http://schemas.microsoft.com/office/spreadsheetml/2009/9/main" objectType="CheckBox" fmlaLink="'Lookup Table'!$X$47" lockText="1" noThreeD="1"/>
</file>

<file path=xl/ctrlProps/ctrlProp7.xml><?xml version="1.0" encoding="utf-8"?>
<formControlPr xmlns="http://schemas.microsoft.com/office/spreadsheetml/2009/9/main" objectType="CheckBox" fmlaLink="'Lookup Table'!$X$48" lockText="1" noThreeD="1"/>
</file>

<file path=xl/ctrlProps/ctrlProp8.xml><?xml version="1.0" encoding="utf-8"?>
<formControlPr xmlns="http://schemas.microsoft.com/office/spreadsheetml/2009/9/main" objectType="CheckBox" fmlaLink="'Lookup Table'!$X$49" lockText="1" noThreeD="1"/>
</file>

<file path=xl/ctrlProps/ctrlProp9.xml><?xml version="1.0" encoding="utf-8"?>
<formControlPr xmlns="http://schemas.microsoft.com/office/spreadsheetml/2009/9/main" objectType="CheckBox" fmlaLink="'Lookup Table'!$X$5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60386</xdr:colOff>
      <xdr:row>0</xdr:row>
      <xdr:rowOff>17253</xdr:rowOff>
    </xdr:from>
    <xdr:to>
      <xdr:col>11</xdr:col>
      <xdr:colOff>448574</xdr:colOff>
      <xdr:row>0</xdr:row>
      <xdr:rowOff>605932</xdr:rowOff>
    </xdr:to>
    <xdr:pic>
      <xdr:nvPicPr>
        <xdr:cNvPr id="7" name="Picture 6" descr="A picture containing diagram, arrow&#10;&#10;Description automatically generated">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9435" y="17253"/>
          <a:ext cx="2251494" cy="588679"/>
        </a:xfrm>
        <a:prstGeom prst="rect">
          <a:avLst/>
        </a:prstGeom>
      </xdr:spPr>
    </xdr:pic>
    <xdr:clientData/>
  </xdr:twoCellAnchor>
  <xdr:twoCellAnchor>
    <xdr:from>
      <xdr:col>0</xdr:col>
      <xdr:colOff>8626</xdr:colOff>
      <xdr:row>1</xdr:row>
      <xdr:rowOff>8628</xdr:rowOff>
    </xdr:from>
    <xdr:to>
      <xdr:col>12</xdr:col>
      <xdr:colOff>17252</xdr:colOff>
      <xdr:row>29</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26" y="618228"/>
          <a:ext cx="7323826" cy="54396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estimation model is intended for use as a planning tool</a:t>
          </a:r>
          <a:r>
            <a:rPr lang="en-US" sz="1100" baseline="0"/>
            <a:t> - to allow you to explore different approaches for using TIA dollars to provide stipend-based incentives to eligible teachers and other staff, or to instead choose to provide incentives in the form of raises to eligible staff salaries. </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Disclaimer:</a:t>
          </a:r>
          <a:r>
            <a:rPr lang="en-US" sz="1100" b="0" baseline="0">
              <a:solidFill>
                <a:schemeClr val="dk1"/>
              </a:solidFill>
              <a:effectLst/>
              <a:latin typeface="+mn-lt"/>
              <a:ea typeface="+mn-ea"/>
              <a:cs typeface="+mn-cs"/>
            </a:rPr>
            <a:t> Because the model uses prior year allotment amounts and, in some cases, uses averages in its calculations, </a:t>
          </a:r>
          <a:r>
            <a:rPr lang="en-US" sz="1100" b="1" baseline="0">
              <a:solidFill>
                <a:srgbClr val="FF0000"/>
              </a:solidFill>
              <a:effectLst/>
              <a:latin typeface="+mn-lt"/>
              <a:ea typeface="+mn-ea"/>
              <a:cs typeface="+mn-cs"/>
            </a:rPr>
            <a:t>t</a:t>
          </a:r>
          <a:r>
            <a:rPr lang="en-US" sz="1100" b="1" baseline="0">
              <a:solidFill>
                <a:srgbClr val="FF0000"/>
              </a:solidFill>
            </a:rPr>
            <a:t>his model is to be used for planning purposes only. It is not intended to be used as a budgeting tool! </a:t>
          </a:r>
          <a:r>
            <a:rPr lang="en-US" sz="1100" b="0" baseline="0">
              <a:solidFill>
                <a:sysClr val="windowText" lastClr="000000"/>
              </a:solidFill>
            </a:rPr>
            <a:t>Once your district or charter LEA has finalized an incentive plan you should use your most current data to generate your own cost estimates for budgeting purposes.</a:t>
          </a:r>
        </a:p>
        <a:p>
          <a:endParaRPr lang="en-US" sz="1100" b="0" baseline="0">
            <a:solidFill>
              <a:sysClr val="windowText" lastClr="000000"/>
            </a:solidFill>
          </a:endParaRPr>
        </a:p>
        <a:p>
          <a:r>
            <a:rPr lang="en-US" sz="1100" b="0" baseline="0">
              <a:solidFill>
                <a:sysClr val="windowText" lastClr="000000"/>
              </a:solidFill>
            </a:rPr>
            <a:t>For all tabs, cells with blue or grey fill are calculated cells and are protected to prevent accidental erasure of the formulas. Cells that are white - without any fill - are cells where you may enter or select data from dropdown menus.  These cells are unprotected. In the event of errors, a light green warning will pop up to alert users.</a:t>
          </a:r>
        </a:p>
        <a:p>
          <a:endParaRPr lang="en-US" sz="1100" b="0" baseline="0">
            <a:solidFill>
              <a:sysClr val="windowText" lastClr="000000"/>
            </a:solidFill>
          </a:endParaRPr>
        </a:p>
        <a:p>
          <a:r>
            <a:rPr lang="en-US" sz="1100" b="0" baseline="0">
              <a:solidFill>
                <a:sysClr val="windowText" lastClr="000000"/>
              </a:solidFill>
            </a:rPr>
            <a:t>The estimation model consists of the following worksheets or tabs:</a:t>
          </a:r>
        </a:p>
        <a:p>
          <a:endParaRPr lang="en-US" sz="1100" b="0" baseline="0">
            <a:solidFill>
              <a:sysClr val="windowText" lastClr="000000"/>
            </a:solidFill>
          </a:endParaRPr>
        </a:p>
        <a:p>
          <a:r>
            <a:rPr lang="en-US" sz="1100" b="1" u="sng" baseline="0">
              <a:solidFill>
                <a:sysClr val="windowText" lastClr="000000"/>
              </a:solidFill>
            </a:rPr>
            <a:t>Allotments Tab: </a:t>
          </a:r>
          <a:r>
            <a:rPr lang="en-US" sz="1100" b="0" u="none" baseline="0">
              <a:solidFill>
                <a:sysClr val="windowText" lastClr="000000"/>
              </a:solidFill>
            </a:rPr>
            <a:t>Use this tab to find </a:t>
          </a:r>
          <a:r>
            <a:rPr lang="en-US" sz="1100" b="0">
              <a:solidFill>
                <a:schemeClr val="dk1"/>
              </a:solidFill>
              <a:effectLst/>
              <a:latin typeface="+mn-lt"/>
              <a:ea typeface="+mn-ea"/>
              <a:cs typeface="+mn-cs"/>
            </a:rPr>
            <a:t>your district or charter LEA's estimated average allotment amounts, estimate the number of designated teachers earning TIA allotments, allocate your available TIA revenues for incentive payments to designated teachers and other eligible</a:t>
          </a:r>
          <a:r>
            <a:rPr lang="en-US" sz="1100" b="0" baseline="0">
              <a:solidFill>
                <a:schemeClr val="dk1"/>
              </a:solidFill>
              <a:effectLst/>
              <a:latin typeface="+mn-lt"/>
              <a:ea typeface="+mn-ea"/>
              <a:cs typeface="+mn-cs"/>
            </a:rPr>
            <a:t> staff, and </a:t>
          </a:r>
          <a:r>
            <a:rPr lang="en-US" sz="1100" b="0">
              <a:solidFill>
                <a:schemeClr val="dk1"/>
              </a:solidFill>
              <a:effectLst/>
              <a:latin typeface="+mn-lt"/>
              <a:ea typeface="+mn-ea"/>
              <a:cs typeface="+mn-cs"/>
            </a:rPr>
            <a:t>determine how your district or charter LEA will use its TIA LEA implementation support funds.  </a:t>
          </a:r>
        </a:p>
        <a:p>
          <a:endParaRPr lang="en-US" sz="1100" b="0">
            <a:solidFill>
              <a:sysClr val="windowText" lastClr="000000"/>
            </a:solidFill>
          </a:endParaRPr>
        </a:p>
        <a:p>
          <a:r>
            <a:rPr lang="en-US" sz="1100" b="1" u="sng" baseline="0">
              <a:solidFill>
                <a:sysClr val="windowText" lastClr="000000"/>
              </a:solidFill>
            </a:rPr>
            <a:t>Benefits Estimator Tab: </a:t>
          </a:r>
          <a:r>
            <a:rPr lang="en-US" sz="1100" b="0" u="none" baseline="0">
              <a:solidFill>
                <a:sysClr val="windowText" lastClr="000000"/>
              </a:solidFill>
            </a:rPr>
            <a:t>Use this tab to estimate the costs of employer and employee-paid fringe benefit costs applicable to stipends and salaries.</a:t>
          </a:r>
          <a:endParaRPr lang="en-US" sz="1100" b="1" u="sng" baseline="0">
            <a:solidFill>
              <a:sysClr val="windowText" lastClr="000000"/>
            </a:solidFill>
          </a:endParaRPr>
        </a:p>
        <a:p>
          <a:endParaRPr lang="en-US" sz="1100" b="1" u="sng" baseline="0">
            <a:solidFill>
              <a:sysClr val="windowText" lastClr="000000"/>
            </a:solidFill>
          </a:endParaRPr>
        </a:p>
        <a:p>
          <a:r>
            <a:rPr lang="en-US" sz="1100" b="1" u="sng" baseline="0">
              <a:solidFill>
                <a:sysClr val="windowText" lastClr="000000"/>
              </a:solidFill>
            </a:rPr>
            <a:t>Stipend-Based Plan Tab:</a:t>
          </a:r>
          <a:r>
            <a:rPr lang="en-US" sz="1100" b="0" u="none" baseline="0">
              <a:solidFill>
                <a:sysClr val="windowText" lastClr="000000"/>
              </a:solidFill>
            </a:rPr>
            <a:t> Use this tab to design and estimate the cost of a stipend-based incentive plan.</a:t>
          </a: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Salary-Based Plan Tab: </a:t>
          </a:r>
          <a:r>
            <a:rPr lang="en-US" sz="1100" b="0" u="none" baseline="0">
              <a:solidFill>
                <a:schemeClr val="dk1"/>
              </a:solidFill>
              <a:effectLst/>
              <a:latin typeface="+mn-lt"/>
              <a:ea typeface="+mn-ea"/>
              <a:cs typeface="+mn-cs"/>
            </a:rPr>
            <a:t>Use this tab to design and estimate the cost of a salary-based incentive plan.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Planning Notes Tab: </a:t>
          </a:r>
          <a:r>
            <a:rPr lang="en-US" sz="1100">
              <a:solidFill>
                <a:schemeClr val="dk1"/>
              </a:solidFill>
              <a:effectLst/>
              <a:latin typeface="+mn-lt"/>
              <a:ea typeface="+mn-ea"/>
              <a:cs typeface="+mn-cs"/>
            </a:rPr>
            <a:t>Use this tab for jotting down questions raised, decisions made, rationales, and possible future revisions for your work in each tab of the model. </a:t>
          </a:r>
        </a:p>
        <a:p>
          <a:endParaRPr lang="en-US" sz="1100" b="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8625</xdr:colOff>
      <xdr:row>60</xdr:row>
      <xdr:rowOff>4</xdr:rowOff>
    </xdr:from>
    <xdr:to>
      <xdr:col>5</xdr:col>
      <xdr:colOff>9525</xdr:colOff>
      <xdr:row>106</xdr:row>
      <xdr:rowOff>60385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8627</xdr:colOff>
      <xdr:row>107</xdr:row>
      <xdr:rowOff>138018</xdr:rowOff>
    </xdr:from>
    <xdr:to>
      <xdr:col>5</xdr:col>
      <xdr:colOff>19050</xdr:colOff>
      <xdr:row>152</xdr:row>
      <xdr:rowOff>123825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9525</xdr:rowOff>
    </xdr:from>
    <xdr:to>
      <xdr:col>4</xdr:col>
      <xdr:colOff>371475</xdr:colOff>
      <xdr:row>0</xdr:row>
      <xdr:rowOff>588678</xdr:rowOff>
    </xdr:to>
    <xdr:pic>
      <xdr:nvPicPr>
        <xdr:cNvPr id="6" name="Picture 5" descr="A picture containing diagram, arrow&#10;&#10;Description automatically generated">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67350" y="9525"/>
          <a:ext cx="2162175" cy="579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228600</xdr:colOff>
      <xdr:row>0</xdr:row>
      <xdr:rowOff>9525</xdr:rowOff>
    </xdr:from>
    <xdr:to>
      <xdr:col>6</xdr:col>
      <xdr:colOff>780151</xdr:colOff>
      <xdr:row>1</xdr:row>
      <xdr:rowOff>0</xdr:rowOff>
    </xdr:to>
    <xdr:pic>
      <xdr:nvPicPr>
        <xdr:cNvPr id="2" name="Picture 1" descr="A picture containing diagram, arrow&#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0700" y="9525"/>
          <a:ext cx="2170801" cy="600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6</xdr:row>
          <xdr:rowOff>514350</xdr:rowOff>
        </xdr:from>
        <xdr:to>
          <xdr:col>4</xdr:col>
          <xdr:colOff>523875</xdr:colOff>
          <xdr:row>8</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171450</xdr:rowOff>
        </xdr:from>
        <xdr:to>
          <xdr:col>4</xdr:col>
          <xdr:colOff>476250</xdr:colOff>
          <xdr:row>9</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161925</xdr:rowOff>
        </xdr:from>
        <xdr:to>
          <xdr:col>4</xdr:col>
          <xdr:colOff>476250</xdr:colOff>
          <xdr:row>10</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171450</xdr:rowOff>
        </xdr:from>
        <xdr:to>
          <xdr:col>4</xdr:col>
          <xdr:colOff>476250</xdr:colOff>
          <xdr:row>11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171450</xdr:rowOff>
        </xdr:from>
        <xdr:to>
          <xdr:col>4</xdr:col>
          <xdr:colOff>476250</xdr:colOff>
          <xdr:row>12</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171450</xdr:rowOff>
        </xdr:from>
        <xdr:to>
          <xdr:col>4</xdr:col>
          <xdr:colOff>476250</xdr:colOff>
          <xdr:row>13</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161925</xdr:rowOff>
        </xdr:from>
        <xdr:to>
          <xdr:col>4</xdr:col>
          <xdr:colOff>476250</xdr:colOff>
          <xdr:row>14</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152400</xdr:rowOff>
        </xdr:from>
        <xdr:to>
          <xdr:col>4</xdr:col>
          <xdr:colOff>476250</xdr:colOff>
          <xdr:row>15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171450</xdr:rowOff>
        </xdr:from>
        <xdr:to>
          <xdr:col>4</xdr:col>
          <xdr:colOff>476250</xdr:colOff>
          <xdr:row>19</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514350</xdr:rowOff>
        </xdr:from>
        <xdr:to>
          <xdr:col>5</xdr:col>
          <xdr:colOff>523875</xdr:colOff>
          <xdr:row>8</xdr:row>
          <xdr:rowOff>19050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171450</xdr:rowOff>
        </xdr:from>
        <xdr:to>
          <xdr:col>5</xdr:col>
          <xdr:colOff>476250</xdr:colOff>
          <xdr:row>9</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161925</xdr:rowOff>
        </xdr:from>
        <xdr:to>
          <xdr:col>5</xdr:col>
          <xdr:colOff>476250</xdr:colOff>
          <xdr:row>10</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171450</xdr:rowOff>
        </xdr:from>
        <xdr:to>
          <xdr:col>5</xdr:col>
          <xdr:colOff>476250</xdr:colOff>
          <xdr:row>11</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171450</xdr:rowOff>
        </xdr:from>
        <xdr:to>
          <xdr:col>5</xdr:col>
          <xdr:colOff>476250</xdr:colOff>
          <xdr:row>12</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171450</xdr:rowOff>
        </xdr:from>
        <xdr:to>
          <xdr:col>5</xdr:col>
          <xdr:colOff>476250</xdr:colOff>
          <xdr:row>13</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161925</xdr:rowOff>
        </xdr:from>
        <xdr:to>
          <xdr:col>5</xdr:col>
          <xdr:colOff>476250</xdr:colOff>
          <xdr:row>14</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152400</xdr:rowOff>
        </xdr:from>
        <xdr:to>
          <xdr:col>5</xdr:col>
          <xdr:colOff>476250</xdr:colOff>
          <xdr:row>15</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171450</xdr:rowOff>
        </xdr:from>
        <xdr:to>
          <xdr:col>5</xdr:col>
          <xdr:colOff>476250</xdr:colOff>
          <xdr:row>19</xdr:row>
          <xdr:rowOff>19050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180975</xdr:rowOff>
        </xdr:from>
        <xdr:to>
          <xdr:col>4</xdr:col>
          <xdr:colOff>476250</xdr:colOff>
          <xdr:row>16</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180975</xdr:rowOff>
        </xdr:from>
        <xdr:to>
          <xdr:col>5</xdr:col>
          <xdr:colOff>476250</xdr:colOff>
          <xdr:row>16</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180975</xdr:rowOff>
        </xdr:from>
        <xdr:to>
          <xdr:col>4</xdr:col>
          <xdr:colOff>476250</xdr:colOff>
          <xdr:row>17</xdr:row>
          <xdr:rowOff>28575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171450</xdr:rowOff>
        </xdr:from>
        <xdr:to>
          <xdr:col>4</xdr:col>
          <xdr:colOff>476250</xdr:colOff>
          <xdr:row>18</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171450</xdr:rowOff>
        </xdr:from>
        <xdr:to>
          <xdr:col>5</xdr:col>
          <xdr:colOff>476250</xdr:colOff>
          <xdr:row>18</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180975</xdr:rowOff>
        </xdr:from>
        <xdr:to>
          <xdr:col>5</xdr:col>
          <xdr:colOff>476250</xdr:colOff>
          <xdr:row>17</xdr:row>
          <xdr:rowOff>28575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439947</xdr:colOff>
      <xdr:row>0</xdr:row>
      <xdr:rowOff>588679</xdr:rowOff>
    </xdr:to>
    <xdr:pic>
      <xdr:nvPicPr>
        <xdr:cNvPr id="3" name="Picture 2" descr="A picture containing diagram, arrow&#10;&#10;Description automatically generated">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9253" y="0"/>
          <a:ext cx="2251494" cy="5886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8626</xdr:colOff>
      <xdr:row>1</xdr:row>
      <xdr:rowOff>0</xdr:rowOff>
    </xdr:to>
    <xdr:pic>
      <xdr:nvPicPr>
        <xdr:cNvPr id="3" name="Picture 2" descr="A picture containing diagram, arrow&#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8625" y="0"/>
          <a:ext cx="2170801"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2251494</xdr:colOff>
      <xdr:row>1</xdr:row>
      <xdr:rowOff>2083</xdr:rowOff>
    </xdr:to>
    <xdr:pic>
      <xdr:nvPicPr>
        <xdr:cNvPr id="2" name="Picture 1" descr="A picture containing diagram, arrow&#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9147" y="0"/>
          <a:ext cx="2251494" cy="588679"/>
        </a:xfrm>
        <a:prstGeom prst="rect">
          <a:avLst/>
        </a:prstGeom>
      </xdr:spPr>
    </xdr:pic>
    <xdr:clientData/>
  </xdr:twoCellAnchor>
  <xdr:twoCellAnchor>
    <xdr:from>
      <xdr:col>0</xdr:col>
      <xdr:colOff>0</xdr:colOff>
      <xdr:row>1</xdr:row>
      <xdr:rowOff>25879</xdr:rowOff>
    </xdr:from>
    <xdr:to>
      <xdr:col>2</xdr:col>
      <xdr:colOff>0</xdr:colOff>
      <xdr:row>92</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673579"/>
          <a:ext cx="8753475" cy="17490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Use this</a:t>
          </a:r>
          <a:r>
            <a:rPr lang="en-US" sz="1200" b="1" baseline="0"/>
            <a:t> space to add notes about </a:t>
          </a:r>
          <a:r>
            <a:rPr lang="en-US" sz="1200" b="1" baseline="0">
              <a:solidFill>
                <a:schemeClr val="dk1"/>
              </a:solidFill>
              <a:effectLst/>
              <a:latin typeface="+mn-lt"/>
              <a:ea typeface="+mn-ea"/>
              <a:cs typeface="+mn-cs"/>
            </a:rPr>
            <a:t>questions raised, </a:t>
          </a:r>
          <a:r>
            <a:rPr lang="en-US" sz="1200" b="1" baseline="0"/>
            <a:t>decisions made, rationales, and possible future revisions as you develop your TIA incentive compensation plan. </a:t>
          </a:r>
        </a:p>
        <a:p>
          <a:endParaRPr lang="en-US" sz="1100" b="1" baseline="0"/>
        </a:p>
        <a:p>
          <a:endParaRPr lang="en-US" sz="1100" b="1" baseline="0"/>
        </a:p>
        <a:p>
          <a:r>
            <a:rPr lang="en-US" sz="1100" b="1" baseline="0"/>
            <a:t>Allotments Tab:  </a:t>
          </a:r>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1" baseline="0"/>
        </a:p>
        <a:p>
          <a:r>
            <a:rPr lang="en-US" sz="1100" b="1" baseline="0"/>
            <a:t>Benefits Calculator Tab:</a:t>
          </a:r>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r>
            <a:rPr lang="en-US" sz="1100" b="1" baseline="0"/>
            <a:t>Stipend-Based Plan Tab:</a:t>
          </a:r>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a:p>
        <a:p>
          <a:endParaRPr lang="en-US" sz="1100" b="1"/>
        </a:p>
        <a:p>
          <a:endParaRPr lang="en-US" sz="1100" b="1"/>
        </a:p>
        <a:p>
          <a:endParaRPr lang="en-US" sz="1100" b="1"/>
        </a:p>
        <a:p>
          <a:endParaRPr lang="en-US" sz="1100" b="1"/>
        </a:p>
        <a:p>
          <a:endParaRPr lang="en-US" sz="1100" b="1"/>
        </a:p>
        <a:p>
          <a:endParaRPr lang="en-US" sz="1100" b="1"/>
        </a:p>
        <a:p>
          <a:r>
            <a:rPr lang="en-US" sz="1100" b="1"/>
            <a:t>Salary-Based Plan Tab:</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C5B68-7A7F-48F9-AFBA-1D8D2DF422BC}" name="Table1" displayName="Table1" ref="A3:J1216" totalsRowShown="0" headerRowDxfId="42">
  <autoFilter ref="A3:J1216" xr:uid="{89AC5B68-7A7F-48F9-AFBA-1D8D2DF422BC}"/>
  <sortState xmlns:xlrd2="http://schemas.microsoft.com/office/spreadsheetml/2017/richdata2" ref="A4:J1215">
    <sortCondition ref="A3:A1215"/>
  </sortState>
  <tableColumns count="10">
    <tableColumn id="1" xr3:uid="{C0DB7683-F693-43A1-B2C9-C3BEA1D5F57A}" name="District Name and No." dataDxfId="41">
      <calculatedColumnFormula>Table1[[#This Row],[District name]]&amp;" "&amp;Table1[[#This Row],[District number]]</calculatedColumnFormula>
    </tableColumn>
    <tableColumn id="2" xr3:uid="{54733EFF-1DC5-43D0-BED5-72DE9BECAE74}" name="District number" dataDxfId="40"/>
    <tableColumn id="3" xr3:uid="{0D561C41-5EEB-45EB-8E93-003960F1D8FA}" name="Campus name" dataDxfId="39"/>
    <tableColumn id="4" xr3:uid="{2D099B4E-2CF4-40DD-97D1-765D476DD17A}" name="District name" dataDxfId="38"/>
    <tableColumn id="5" xr3:uid="{AAFFA934-7E9B-46F1-84EB-F3CD89DCE7C4}" name="Region" dataDxfId="37">
      <calculatedColumnFormula>VLOOKUP(Table1[[#This Row],[District number]],#REF!,20,FALSE)</calculatedColumnFormula>
    </tableColumn>
    <tableColumn id="6" xr3:uid="{5212D33D-1F0E-484B-AE4B-849C8068C09C}" name="Recognized Allotment" dataDxfId="36">
      <calculatedColumnFormula>VLOOKUP(Table1[[#This Row],[District number]],#REF!,10,FALSE)</calculatedColumnFormula>
    </tableColumn>
    <tableColumn id="7" xr3:uid="{63227A4D-83F3-46FF-AE54-94758B77C011}" name="Exemplary Allotment" dataDxfId="35">
      <calculatedColumnFormula>VLOOKUP(Table1[[#This Row],[District number]],#REF!,9,FALSE)</calculatedColumnFormula>
    </tableColumn>
    <tableColumn id="8" xr3:uid="{3479888F-BAF7-4352-8573-A11EE9B39176}" name="Master Allotment" dataDxfId="34">
      <calculatedColumnFormula>VLOOKUP(Table1[[#This Row],[District number]],#REF!,8,FALSE)</calculatedColumnFormula>
    </tableColumn>
    <tableColumn id="9" xr3:uid="{49DD4831-4B04-42B5-9D16-0A7733B1B33B}" name="SD Ave Code" dataDxfId="33"/>
    <tableColumn id="10" xr3:uid="{3F5BE3F9-5FDC-4431-A4D5-FFE3FB53F3E4}" name="SD No" dataDxfId="32">
      <calculatedColumnFormula>LEFT(B4,6)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74C2-B971-4046-95BB-585039172998}">
  <dimension ref="A1:P6"/>
  <sheetViews>
    <sheetView showGridLines="0" tabSelected="1" workbookViewId="0">
      <selection activeCell="A2" sqref="A2"/>
    </sheetView>
  </sheetViews>
  <sheetFormatPr defaultRowHeight="15" x14ac:dyDescent="0.25"/>
  <sheetData>
    <row r="1" spans="1:16" ht="48.2" customHeight="1" x14ac:dyDescent="0.25">
      <c r="A1" s="437" t="s">
        <v>0</v>
      </c>
      <c r="B1" s="438"/>
      <c r="C1" s="438"/>
      <c r="D1" s="438"/>
      <c r="E1" s="438"/>
      <c r="F1" s="438"/>
      <c r="G1" s="438"/>
      <c r="H1" s="438"/>
      <c r="I1" s="42"/>
      <c r="J1" s="42"/>
      <c r="K1" s="42"/>
      <c r="L1" s="33"/>
      <c r="O1" s="41"/>
    </row>
    <row r="2" spans="1:16" x14ac:dyDescent="0.25">
      <c r="P2" s="41"/>
    </row>
    <row r="6" spans="1:16" x14ac:dyDescent="0.25">
      <c r="O6" s="41"/>
    </row>
  </sheetData>
  <sheetProtection algorithmName="SHA-512" hashValue="BcoWGQDj5n5KvKQGdHLJ130h3U3K99Y0LfKIWaiYo85HiVkEKBF5YbzCiS0yqVCdE+cKm365USNsToogkdKE6A==" saltValue="vC0VVDict6kWTsCAZcejow==" spinCount="100000" sheet="1" objects="1" scenarios="1"/>
  <mergeCells count="1">
    <mergeCell ref="A1:H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C243-AB44-4537-8BA3-3C11B3333559}">
  <dimension ref="A1:I107"/>
  <sheetViews>
    <sheetView showGridLines="0" topLeftCell="A8" zoomScaleNormal="100" workbookViewId="0">
      <selection activeCell="K13" sqref="K13"/>
    </sheetView>
  </sheetViews>
  <sheetFormatPr defaultRowHeight="15" x14ac:dyDescent="0.25"/>
  <cols>
    <col min="1" max="1" width="68.5703125" customWidth="1"/>
    <col min="2" max="5" width="13.42578125" customWidth="1"/>
    <col min="6" max="7" width="9.7109375" customWidth="1"/>
    <col min="8" max="8" width="14.5703125" customWidth="1"/>
    <col min="9" max="9" width="4" customWidth="1"/>
  </cols>
  <sheetData>
    <row r="1" spans="1:5" ht="48.2" customHeight="1" x14ac:dyDescent="0.25">
      <c r="A1" s="267" t="s">
        <v>1</v>
      </c>
      <c r="B1" s="436" t="s">
        <v>2</v>
      </c>
      <c r="C1" s="42"/>
      <c r="D1" s="42"/>
      <c r="E1" s="33"/>
    </row>
    <row r="2" spans="1:5" x14ac:dyDescent="0.25">
      <c r="A2" s="6"/>
    </row>
    <row r="3" spans="1:5" ht="29.85" customHeight="1" x14ac:dyDescent="0.25">
      <c r="A3" s="439" t="s">
        <v>3</v>
      </c>
      <c r="B3" s="440"/>
      <c r="C3" s="440"/>
      <c r="D3" s="440"/>
      <c r="E3" s="441"/>
    </row>
    <row r="4" spans="1:5" x14ac:dyDescent="0.25">
      <c r="A4" s="6"/>
    </row>
    <row r="5" spans="1:5" ht="15.6" customHeight="1" x14ac:dyDescent="0.25">
      <c r="A5" s="442" t="s">
        <v>4</v>
      </c>
      <c r="B5" s="443"/>
      <c r="C5" s="443"/>
      <c r="D5" s="443"/>
      <c r="E5" s="444"/>
    </row>
    <row r="6" spans="1:5" x14ac:dyDescent="0.25">
      <c r="A6" s="37"/>
      <c r="E6" s="24"/>
    </row>
    <row r="7" spans="1:5" x14ac:dyDescent="0.25">
      <c r="A7" s="11"/>
      <c r="B7" s="107"/>
      <c r="C7" s="460" t="s">
        <v>5</v>
      </c>
      <c r="D7" s="461"/>
      <c r="E7" s="462"/>
    </row>
    <row r="8" spans="1:5" ht="77.25" customHeight="1" x14ac:dyDescent="0.25">
      <c r="A8" s="332" t="s">
        <v>6</v>
      </c>
      <c r="B8" s="251" t="s">
        <v>7</v>
      </c>
      <c r="C8" s="243" t="s">
        <v>8</v>
      </c>
      <c r="D8" s="243" t="s">
        <v>9</v>
      </c>
      <c r="E8" s="244" t="s">
        <v>10</v>
      </c>
    </row>
    <row r="9" spans="1:5" x14ac:dyDescent="0.25">
      <c r="A9" s="333" t="s">
        <v>11</v>
      </c>
      <c r="B9" s="58" t="str">
        <f>VLOOKUP(A9,'Lookup Table'!A:B,2,FALSE)</f>
        <v>057905</v>
      </c>
      <c r="C9" s="58" t="str">
        <f>VLOOKUP($A$9,'Lookup Table'!$A$4:$I$1216,6,FALSE)</f>
        <v>6,794</v>
      </c>
      <c r="D9" s="58" t="str">
        <f>VLOOKUP($A$9,'Lookup Table'!$A$4:$I$1216,7,FALSE)</f>
        <v>13,587</v>
      </c>
      <c r="E9" s="58" t="str">
        <f>VLOOKUP($A$9,'Lookup Table'!$A$4:$I$1216,8,FALSE)</f>
        <v>24,645</v>
      </c>
    </row>
    <row r="10" spans="1:5" x14ac:dyDescent="0.25">
      <c r="A10" s="11"/>
      <c r="B10" s="40"/>
      <c r="C10" s="40"/>
      <c r="D10" s="40"/>
      <c r="E10" s="24"/>
    </row>
    <row r="11" spans="1:5" ht="17.25" customHeight="1" x14ac:dyDescent="0.25">
      <c r="A11" s="445" t="s">
        <v>12</v>
      </c>
      <c r="B11" s="446"/>
      <c r="C11" s="446"/>
      <c r="D11" s="446"/>
      <c r="E11" s="447"/>
    </row>
    <row r="12" spans="1:5" x14ac:dyDescent="0.25">
      <c r="A12" s="466" t="s">
        <v>13</v>
      </c>
      <c r="B12" s="467"/>
      <c r="C12" s="467"/>
      <c r="D12" s="467"/>
      <c r="E12" s="468"/>
    </row>
    <row r="13" spans="1:5" ht="174" customHeight="1" x14ac:dyDescent="0.25">
      <c r="A13" s="469"/>
      <c r="B13" s="470"/>
      <c r="C13" s="470"/>
      <c r="D13" s="470"/>
      <c r="E13" s="471"/>
    </row>
    <row r="14" spans="1:5" x14ac:dyDescent="0.25">
      <c r="A14" s="259" t="s">
        <v>14</v>
      </c>
      <c r="B14" s="257"/>
      <c r="C14" s="257"/>
      <c r="D14" s="258"/>
      <c r="E14" s="115">
        <v>20</v>
      </c>
    </row>
    <row r="15" spans="1:5" x14ac:dyDescent="0.25">
      <c r="A15" s="256"/>
      <c r="B15" s="255"/>
      <c r="C15" s="254"/>
      <c r="D15" s="254"/>
      <c r="E15" s="123"/>
    </row>
    <row r="16" spans="1:5" x14ac:dyDescent="0.25">
      <c r="A16" s="237"/>
      <c r="B16" s="238" t="s">
        <v>15</v>
      </c>
      <c r="C16" s="238" t="s">
        <v>16</v>
      </c>
      <c r="D16" s="238" t="s">
        <v>17</v>
      </c>
      <c r="E16" s="238" t="s">
        <v>18</v>
      </c>
    </row>
    <row r="17" spans="1:5" x14ac:dyDescent="0.25">
      <c r="A17" s="72" t="s">
        <v>19</v>
      </c>
      <c r="B17" s="252">
        <v>0.13</v>
      </c>
      <c r="C17" s="252">
        <v>0.15</v>
      </c>
      <c r="D17" s="252">
        <v>0.05</v>
      </c>
      <c r="E17" s="253"/>
    </row>
    <row r="18" spans="1:5" ht="15.75" customHeight="1" x14ac:dyDescent="0.25">
      <c r="A18" s="463"/>
      <c r="B18" s="464"/>
      <c r="C18" s="464"/>
      <c r="D18" s="464"/>
      <c r="E18" s="465"/>
    </row>
    <row r="19" spans="1:5" x14ac:dyDescent="0.25">
      <c r="A19" s="59" t="s">
        <v>20</v>
      </c>
      <c r="B19" s="60">
        <f>ROUND($E$14*(B17),0)</f>
        <v>3</v>
      </c>
      <c r="C19" s="61">
        <f>ROUND($E$14*(C17),0)</f>
        <v>3</v>
      </c>
      <c r="D19" s="61">
        <f>ROUND($E$14*D17,0)</f>
        <v>1</v>
      </c>
      <c r="E19" s="61">
        <f>SUM(B19:D19)</f>
        <v>7</v>
      </c>
    </row>
    <row r="21" spans="1:5" ht="17.25" customHeight="1" x14ac:dyDescent="0.25">
      <c r="A21" s="445" t="s">
        <v>21</v>
      </c>
      <c r="B21" s="446"/>
      <c r="C21" s="446"/>
      <c r="D21" s="446"/>
      <c r="E21" s="447"/>
    </row>
    <row r="22" spans="1:5" x14ac:dyDescent="0.25">
      <c r="A22" s="37"/>
      <c r="E22" s="24"/>
    </row>
    <row r="23" spans="1:5" x14ac:dyDescent="0.25">
      <c r="A23" s="236"/>
      <c r="B23" s="239" t="s">
        <v>15</v>
      </c>
      <c r="C23" s="239" t="s">
        <v>16</v>
      </c>
      <c r="D23" s="239" t="s">
        <v>17</v>
      </c>
      <c r="E23" s="239" t="s">
        <v>18</v>
      </c>
    </row>
    <row r="24" spans="1:5" x14ac:dyDescent="0.25">
      <c r="A24" s="72" t="s">
        <v>22</v>
      </c>
      <c r="B24" s="71">
        <f>B19*C9</f>
        <v>20382</v>
      </c>
      <c r="C24" s="71">
        <f>C19*D9</f>
        <v>40761</v>
      </c>
      <c r="D24" s="71">
        <f>D19*E9</f>
        <v>24645</v>
      </c>
      <c r="E24" s="71">
        <f>SUM(B24:D24)</f>
        <v>85788</v>
      </c>
    </row>
    <row r="25" spans="1:5" x14ac:dyDescent="0.25">
      <c r="A25" s="70"/>
      <c r="B25" s="74"/>
      <c r="C25" s="74"/>
      <c r="D25" s="74"/>
      <c r="E25" s="75"/>
    </row>
    <row r="26" spans="1:5" x14ac:dyDescent="0.25">
      <c r="A26" s="76" t="s">
        <v>23</v>
      </c>
      <c r="B26" s="77">
        <f>B24*0.9</f>
        <v>18343.8</v>
      </c>
      <c r="C26" s="77">
        <f>C24*0.9</f>
        <v>36684.9</v>
      </c>
      <c r="D26" s="77">
        <f>D24*0.9</f>
        <v>22180.5</v>
      </c>
      <c r="E26" s="77">
        <f>SUM(B26:D26)</f>
        <v>77209.2</v>
      </c>
    </row>
    <row r="27" spans="1:5" x14ac:dyDescent="0.25">
      <c r="A27" s="70"/>
      <c r="B27" s="74"/>
      <c r="C27" s="74"/>
      <c r="D27" s="74"/>
      <c r="E27" s="75"/>
    </row>
    <row r="28" spans="1:5" x14ac:dyDescent="0.25">
      <c r="A28" s="73" t="s">
        <v>24</v>
      </c>
      <c r="B28" s="64">
        <f>B24-B26</f>
        <v>2038.2000000000007</v>
      </c>
      <c r="C28" s="64">
        <f>C24-C26</f>
        <v>4076.0999999999985</v>
      </c>
      <c r="D28" s="64">
        <f>D24-D26</f>
        <v>2464.5</v>
      </c>
      <c r="E28" s="64">
        <f>SUM(B28:D28)</f>
        <v>8578.7999999999993</v>
      </c>
    </row>
    <row r="30" spans="1:5" ht="17.25" customHeight="1" x14ac:dyDescent="0.25">
      <c r="A30" s="318" t="s">
        <v>25</v>
      </c>
      <c r="B30" s="49"/>
      <c r="C30" s="49"/>
      <c r="D30" s="49"/>
      <c r="E30" s="50"/>
    </row>
    <row r="31" spans="1:5" ht="65.25" customHeight="1" x14ac:dyDescent="0.25">
      <c r="A31" s="454" t="s">
        <v>26</v>
      </c>
      <c r="B31" s="455"/>
      <c r="C31" s="455"/>
      <c r="D31" s="455"/>
      <c r="E31" s="456"/>
    </row>
    <row r="32" spans="1:5" ht="30" x14ac:dyDescent="0.25">
      <c r="A32" s="240"/>
      <c r="B32" s="241"/>
      <c r="C32" s="241" t="s">
        <v>27</v>
      </c>
      <c r="D32" s="241" t="s">
        <v>28</v>
      </c>
      <c r="E32" s="242" t="s">
        <v>29</v>
      </c>
    </row>
    <row r="33" spans="1:8" x14ac:dyDescent="0.25">
      <c r="A33" s="44" t="s">
        <v>30</v>
      </c>
      <c r="B33" s="46"/>
      <c r="C33" s="153">
        <v>0</v>
      </c>
      <c r="D33" s="153">
        <v>0</v>
      </c>
      <c r="E33" s="153">
        <v>0</v>
      </c>
    </row>
    <row r="34" spans="1:8" x14ac:dyDescent="0.25">
      <c r="A34" s="70"/>
      <c r="B34" s="74"/>
      <c r="C34" s="74"/>
      <c r="D34" s="74"/>
      <c r="E34" s="75"/>
      <c r="F34" s="459" t="str">
        <f>IF(SUM(C33:E33)&lt;&gt;1,"Total percentage must equal 100%."," ")</f>
        <v>Total percentage must equal 100%.</v>
      </c>
      <c r="G34" s="459"/>
      <c r="H34" s="459"/>
    </row>
    <row r="35" spans="1:8" x14ac:dyDescent="0.25">
      <c r="A35" s="44" t="s">
        <v>31</v>
      </c>
      <c r="B35" s="45"/>
      <c r="C35" s="38">
        <f>$E$24*$C$33</f>
        <v>0</v>
      </c>
      <c r="D35" s="38">
        <f>$E$24*$D$33</f>
        <v>0</v>
      </c>
      <c r="E35" s="38">
        <f>ROUND($E$24*$E$33,0)</f>
        <v>0</v>
      </c>
    </row>
    <row r="36" spans="1:8" x14ac:dyDescent="0.25">
      <c r="A36" s="43"/>
      <c r="B36" s="32"/>
      <c r="C36" s="32"/>
      <c r="D36" s="32"/>
      <c r="E36" s="47"/>
    </row>
    <row r="38" spans="1:8" ht="32.25" customHeight="1" x14ac:dyDescent="0.25">
      <c r="A38" s="326" t="s">
        <v>32</v>
      </c>
      <c r="B38" s="49"/>
      <c r="C38" s="49"/>
      <c r="D38" s="49"/>
      <c r="E38" s="50"/>
    </row>
    <row r="39" spans="1:8" ht="46.5" customHeight="1" x14ac:dyDescent="0.25">
      <c r="A39" s="454" t="s">
        <v>33</v>
      </c>
      <c r="B39" s="455"/>
      <c r="C39" s="455"/>
      <c r="D39" s="455"/>
      <c r="E39" s="456"/>
    </row>
    <row r="40" spans="1:8" x14ac:dyDescent="0.25">
      <c r="A40" s="44" t="s">
        <v>34</v>
      </c>
      <c r="B40" s="45"/>
      <c r="C40" s="45"/>
      <c r="D40" s="45"/>
      <c r="E40" s="38">
        <f>ROUND(E35,0)</f>
        <v>0</v>
      </c>
    </row>
    <row r="41" spans="1:8" x14ac:dyDescent="0.25">
      <c r="A41" s="11"/>
      <c r="E41" s="24"/>
    </row>
    <row r="42" spans="1:8" ht="17.25" customHeight="1" x14ac:dyDescent="0.25">
      <c r="A42" s="325" t="s">
        <v>35</v>
      </c>
      <c r="B42" s="245"/>
      <c r="C42" s="246"/>
      <c r="D42" s="246"/>
      <c r="E42" s="247"/>
    </row>
    <row r="43" spans="1:8" x14ac:dyDescent="0.25">
      <c r="A43" s="19" t="s">
        <v>36</v>
      </c>
      <c r="B43" s="15"/>
      <c r="C43" s="20"/>
      <c r="D43" s="20"/>
      <c r="E43" s="116">
        <v>0</v>
      </c>
    </row>
    <row r="44" spans="1:8" x14ac:dyDescent="0.25">
      <c r="A44" s="19" t="s">
        <v>37</v>
      </c>
      <c r="B44" s="15"/>
      <c r="C44" s="20"/>
      <c r="D44" s="20"/>
      <c r="E44" s="117">
        <v>0</v>
      </c>
    </row>
    <row r="45" spans="1:8" x14ac:dyDescent="0.25">
      <c r="A45" s="19" t="s">
        <v>38</v>
      </c>
      <c r="B45" s="15"/>
      <c r="C45" s="20"/>
      <c r="D45" s="20"/>
      <c r="E45" s="117">
        <v>0</v>
      </c>
    </row>
    <row r="46" spans="1:8" x14ac:dyDescent="0.25">
      <c r="A46" s="19" t="s">
        <v>39</v>
      </c>
      <c r="B46" s="15"/>
      <c r="C46" s="20"/>
      <c r="D46" s="20"/>
      <c r="E46" s="117">
        <v>0</v>
      </c>
    </row>
    <row r="47" spans="1:8" x14ac:dyDescent="0.25">
      <c r="A47" s="19" t="s">
        <v>40</v>
      </c>
      <c r="B47" s="15"/>
      <c r="C47" s="20"/>
      <c r="D47" s="20"/>
      <c r="E47" s="117">
        <v>0</v>
      </c>
    </row>
    <row r="48" spans="1:8" x14ac:dyDescent="0.25">
      <c r="A48" s="19" t="s">
        <v>41</v>
      </c>
      <c r="B48" s="15"/>
      <c r="C48" s="20"/>
      <c r="D48" s="20"/>
      <c r="E48" s="117">
        <v>0</v>
      </c>
    </row>
    <row r="49" spans="1:9" x14ac:dyDescent="0.25">
      <c r="A49" s="19" t="s">
        <v>42</v>
      </c>
      <c r="B49" s="15"/>
      <c r="C49" s="20"/>
      <c r="D49" s="20"/>
      <c r="E49" s="117">
        <v>0</v>
      </c>
    </row>
    <row r="50" spans="1:9" x14ac:dyDescent="0.25">
      <c r="A50" s="19" t="s">
        <v>43</v>
      </c>
      <c r="B50" s="15"/>
      <c r="C50" s="20"/>
      <c r="D50" s="20"/>
      <c r="E50" s="117">
        <v>0</v>
      </c>
    </row>
    <row r="51" spans="1:9" x14ac:dyDescent="0.25">
      <c r="A51" s="19" t="s">
        <v>44</v>
      </c>
      <c r="B51" s="15"/>
      <c r="C51" s="20"/>
      <c r="D51" s="20"/>
      <c r="E51" s="117">
        <v>0</v>
      </c>
    </row>
    <row r="52" spans="1:9" x14ac:dyDescent="0.25">
      <c r="A52" s="19" t="s">
        <v>44</v>
      </c>
      <c r="B52" s="15"/>
      <c r="C52" s="20"/>
      <c r="D52" s="20"/>
      <c r="E52" s="117">
        <v>0</v>
      </c>
    </row>
    <row r="53" spans="1:9" x14ac:dyDescent="0.25">
      <c r="A53" s="19" t="s">
        <v>44</v>
      </c>
      <c r="B53" s="15"/>
      <c r="C53" s="20"/>
      <c r="D53" s="20"/>
      <c r="E53" s="117">
        <v>0</v>
      </c>
    </row>
    <row r="54" spans="1:9" x14ac:dyDescent="0.25">
      <c r="A54" s="51"/>
      <c r="B54" s="52"/>
      <c r="C54" s="52"/>
      <c r="D54" s="52"/>
      <c r="E54" s="53"/>
    </row>
    <row r="55" spans="1:9" x14ac:dyDescent="0.25">
      <c r="A55" s="171" t="s">
        <v>45</v>
      </c>
      <c r="B55" s="248"/>
      <c r="C55" s="249"/>
      <c r="D55" s="250"/>
      <c r="E55" s="177">
        <f>SUM(E43:E54)</f>
        <v>0</v>
      </c>
    </row>
    <row r="56" spans="1:9" ht="40.700000000000003" customHeight="1" x14ac:dyDescent="0.25">
      <c r="E56" s="457" t="str">
        <f>IF(E55&lt;&gt;E35,"Total does not equal the alloted amount in Cell E35"," ")</f>
        <v xml:space="preserve"> </v>
      </c>
      <c r="F56" s="458"/>
      <c r="G56" s="458"/>
      <c r="H56" s="458"/>
    </row>
    <row r="58" spans="1:9" ht="15.75" x14ac:dyDescent="0.25">
      <c r="A58" s="448" t="s">
        <v>46</v>
      </c>
      <c r="B58" s="449"/>
      <c r="C58" s="449"/>
      <c r="D58" s="449"/>
      <c r="E58" s="450"/>
      <c r="F58" s="330"/>
      <c r="G58" s="330"/>
      <c r="H58" s="330"/>
      <c r="I58" s="330"/>
    </row>
    <row r="59" spans="1:9" ht="15.75" x14ac:dyDescent="0.25">
      <c r="A59" s="451"/>
      <c r="B59" s="452"/>
      <c r="C59" s="452"/>
      <c r="D59" s="452"/>
      <c r="E59" s="453"/>
      <c r="F59" s="330"/>
      <c r="G59" s="330"/>
      <c r="H59" s="330"/>
      <c r="I59" s="330"/>
    </row>
    <row r="107" ht="15.75" customHeight="1" x14ac:dyDescent="0.25"/>
  </sheetData>
  <mergeCells count="12">
    <mergeCell ref="A3:E3"/>
    <mergeCell ref="A5:E5"/>
    <mergeCell ref="A11:E11"/>
    <mergeCell ref="A21:E21"/>
    <mergeCell ref="A58:E59"/>
    <mergeCell ref="A39:E39"/>
    <mergeCell ref="E56:H56"/>
    <mergeCell ref="F34:H34"/>
    <mergeCell ref="C7:E7"/>
    <mergeCell ref="A18:E18"/>
    <mergeCell ref="A12:E13"/>
    <mergeCell ref="A31:E31"/>
  </mergeCells>
  <conditionalFormatting sqref="E56:H56">
    <cfRule type="expression" dxfId="31" priority="2">
      <formula>E56&lt;&gt;" "</formula>
    </cfRule>
  </conditionalFormatting>
  <conditionalFormatting sqref="F34:H34">
    <cfRule type="expression" dxfId="30" priority="1">
      <formula>F34&lt;&gt;" "</formula>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xWindow="553" yWindow="807" count="8">
        <x14:dataValidation type="list" allowBlank="1" showInputMessage="1" showErrorMessage="1" prompt="Select a percentage between 0% and 100%" xr:uid="{667E2150-1873-44D8-8F19-ED94E7BD038D}">
          <x14:formula1>
            <xm:f>'Lookup Table'!$L$11:$L$111</xm:f>
          </x14:formula1>
          <xm:sqref>C33</xm:sqref>
        </x14:dataValidation>
        <x14:dataValidation type="list" allowBlank="1" showInputMessage="1" showErrorMessage="1" prompt="Select a percentage between 0% and 100%" xr:uid="{06CDA3B7-63A2-497A-8A9F-EAF617329148}">
          <x14:formula1>
            <xm:f>'Lookup Table'!$N$11:$N$111</xm:f>
          </x14:formula1>
          <xm:sqref>D33</xm:sqref>
        </x14:dataValidation>
        <x14:dataValidation type="list" allowBlank="1" showInputMessage="1" showErrorMessage="1" prompt="Select a percentage between 0% and 10%" xr:uid="{3C69D4C4-084D-44F9-99E3-1E55F48733A1}">
          <x14:formula1>
            <xm:f>'Lookup Table'!$P$11:$P$21</xm:f>
          </x14:formula1>
          <xm:sqref>E33</xm:sqref>
        </x14:dataValidation>
        <x14:dataValidation type="list" allowBlank="1" showInputMessage="1" prompt="Select either the default percentage of 5% or enter your own value in the cell." xr:uid="{7DDD063F-EB62-4D46-B866-6A133770C01F}">
          <x14:formula1>
            <xm:f>'Lookup Table'!$N$4:$N$4</xm:f>
          </x14:formula1>
          <xm:sqref>D17</xm:sqref>
        </x14:dataValidation>
        <x14:dataValidation type="list" showInputMessage="1" prompt="Select either the default percentage of 13% or enter your own value in the cell." xr:uid="{DF5B4E13-4595-46CC-AD0D-5CEBF2041A18}">
          <x14:formula1>
            <xm:f>'Lookup Table'!$L$4:$L$4</xm:f>
          </x14:formula1>
          <xm:sqref>B17</xm:sqref>
        </x14:dataValidation>
        <x14:dataValidation type="list" allowBlank="1" showInputMessage="1" prompt="Select either the default percentage of 15% or enter your own value in the cell." xr:uid="{F58BB9A1-2C29-4AE9-AE0B-CF9A9A902F2A}">
          <x14:formula1>
            <xm:f>'Lookup Table'!$M$4:$M$4</xm:f>
          </x14:formula1>
          <xm:sqref>C17</xm:sqref>
        </x14:dataValidation>
        <x14:dataValidation type="list" allowBlank="1" showInputMessage="1" showErrorMessage="1" xr:uid="{AADAE0DC-6AE9-400A-ADF7-8A6AD9DAD162}">
          <x14:formula1>
            <xm:f>'Lookup Table'!$D$4:$D$1209</xm:f>
          </x14:formula1>
          <xm:sqref>A10</xm:sqref>
        </x14:dataValidation>
        <x14:dataValidation type="list" allowBlank="1" showInputMessage="1" showErrorMessage="1" xr:uid="{A22025E7-7881-4DC9-B1CC-577A3D3059D2}">
          <x14:formula1>
            <xm:f>'Lookup Table'!$A$4:$A$1216</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0AEA-269E-445E-A984-7AEEA29BCE54}">
  <dimension ref="A1:AO54"/>
  <sheetViews>
    <sheetView showGridLines="0" topLeftCell="A3" workbookViewId="0">
      <selection activeCell="A5" sqref="A5:G5"/>
    </sheetView>
  </sheetViews>
  <sheetFormatPr defaultRowHeight="15" x14ac:dyDescent="0.25"/>
  <cols>
    <col min="1" max="1" width="23.85546875" customWidth="1"/>
    <col min="2" max="2" width="32.42578125" customWidth="1"/>
    <col min="3" max="6" width="12.140625" customWidth="1"/>
    <col min="7" max="7" width="11.7109375" customWidth="1"/>
    <col min="8" max="8" width="30.42578125" customWidth="1"/>
    <col min="9" max="12" width="12.140625" customWidth="1"/>
    <col min="15" max="15" width="3.42578125" customWidth="1"/>
    <col min="16" max="16" width="13.85546875" customWidth="1"/>
    <col min="23" max="23" width="7" customWidth="1"/>
    <col min="27" max="27" width="4.140625" customWidth="1"/>
    <col min="28" max="28" width="13.28515625" customWidth="1"/>
  </cols>
  <sheetData>
    <row r="1" spans="1:19" ht="48" customHeight="1" x14ac:dyDescent="0.25">
      <c r="A1" s="264" t="s">
        <v>47</v>
      </c>
      <c r="B1" s="246"/>
      <c r="C1" s="246"/>
      <c r="D1" s="246"/>
      <c r="E1" s="246"/>
      <c r="F1" s="211"/>
      <c r="G1" s="212"/>
    </row>
    <row r="2" spans="1:19" ht="15" customHeight="1" x14ac:dyDescent="0.25">
      <c r="A2" s="472" t="s">
        <v>48</v>
      </c>
      <c r="B2" s="473"/>
      <c r="C2" s="473"/>
      <c r="D2" s="473"/>
      <c r="E2" s="473"/>
      <c r="F2" s="473"/>
      <c r="G2" s="474"/>
    </row>
    <row r="3" spans="1:19" ht="33.75" customHeight="1" x14ac:dyDescent="0.25">
      <c r="A3" s="475"/>
      <c r="B3" s="458"/>
      <c r="C3" s="458"/>
      <c r="D3" s="458"/>
      <c r="E3" s="458"/>
      <c r="F3" s="458"/>
      <c r="G3" s="476"/>
    </row>
    <row r="4" spans="1:19" ht="22.5" customHeight="1" x14ac:dyDescent="0.25">
      <c r="A4" s="307" t="s">
        <v>49</v>
      </c>
      <c r="B4" s="268"/>
      <c r="C4" s="265"/>
      <c r="D4" s="265"/>
      <c r="E4" s="265"/>
      <c r="F4" s="265"/>
      <c r="G4" s="269"/>
    </row>
    <row r="5" spans="1:19" ht="241.5" customHeight="1" x14ac:dyDescent="0.25">
      <c r="A5" s="477" t="s">
        <v>50</v>
      </c>
      <c r="B5" s="478"/>
      <c r="C5" s="478"/>
      <c r="D5" s="478"/>
      <c r="E5" s="478"/>
      <c r="F5" s="478"/>
      <c r="G5" s="479"/>
    </row>
    <row r="6" spans="1:19" ht="30" customHeight="1" x14ac:dyDescent="0.25">
      <c r="A6" s="270"/>
      <c r="B6" s="271"/>
      <c r="C6" s="480" t="s">
        <v>51</v>
      </c>
      <c r="D6" s="481"/>
      <c r="E6" s="273"/>
      <c r="F6" s="273"/>
      <c r="G6" s="274"/>
      <c r="I6" s="482"/>
      <c r="J6" s="458"/>
      <c r="K6" s="23"/>
      <c r="L6" s="23"/>
    </row>
    <row r="7" spans="1:19" ht="45.75" customHeight="1" x14ac:dyDescent="0.25">
      <c r="A7" s="324" t="s">
        <v>52</v>
      </c>
      <c r="B7" s="275" t="s">
        <v>53</v>
      </c>
      <c r="C7" s="276" t="s">
        <v>54</v>
      </c>
      <c r="D7" s="276" t="s">
        <v>55</v>
      </c>
      <c r="E7" s="276" t="s">
        <v>56</v>
      </c>
      <c r="F7" s="276" t="s">
        <v>57</v>
      </c>
      <c r="G7" s="277"/>
      <c r="H7" s="234"/>
      <c r="I7" s="95"/>
      <c r="J7" s="95"/>
      <c r="K7" s="95"/>
      <c r="L7" s="95"/>
      <c r="S7" s="95"/>
    </row>
    <row r="8" spans="1:19" x14ac:dyDescent="0.25">
      <c r="A8" s="72"/>
      <c r="B8" s="20" t="s">
        <v>58</v>
      </c>
      <c r="C8" s="338">
        <v>0</v>
      </c>
      <c r="D8" s="338">
        <v>0</v>
      </c>
      <c r="E8" s="214"/>
      <c r="F8" s="214"/>
      <c r="G8" s="21"/>
      <c r="I8" s="141"/>
      <c r="J8" s="141"/>
      <c r="K8" s="141"/>
      <c r="L8" s="141"/>
    </row>
    <row r="9" spans="1:19" x14ac:dyDescent="0.25">
      <c r="A9" s="483" t="s">
        <v>59</v>
      </c>
      <c r="B9" s="20" t="s">
        <v>60</v>
      </c>
      <c r="C9" s="338">
        <v>0</v>
      </c>
      <c r="D9" s="338">
        <v>0</v>
      </c>
      <c r="E9" s="214"/>
      <c r="F9" s="214"/>
      <c r="G9" s="21"/>
      <c r="I9" s="141"/>
      <c r="J9" s="141"/>
      <c r="K9" s="141"/>
      <c r="L9" s="141"/>
    </row>
    <row r="10" spans="1:19" x14ac:dyDescent="0.25">
      <c r="A10" s="484"/>
      <c r="B10" s="20" t="s">
        <v>61</v>
      </c>
      <c r="C10" s="338">
        <v>0</v>
      </c>
      <c r="D10" s="338">
        <v>0</v>
      </c>
      <c r="E10" s="214"/>
      <c r="F10" s="214"/>
      <c r="G10" s="21"/>
      <c r="I10" s="141"/>
      <c r="J10" s="141"/>
      <c r="K10" s="141"/>
      <c r="L10" s="141"/>
    </row>
    <row r="11" spans="1:19" x14ac:dyDescent="0.25">
      <c r="A11" s="484"/>
      <c r="B11" s="20" t="s">
        <v>62</v>
      </c>
      <c r="C11" s="338">
        <v>0</v>
      </c>
      <c r="D11" s="338">
        <v>0</v>
      </c>
      <c r="E11" s="214"/>
      <c r="F11" s="214"/>
      <c r="G11" s="21"/>
      <c r="I11" s="141"/>
      <c r="J11" s="141"/>
      <c r="K11" s="141"/>
      <c r="L11" s="141"/>
    </row>
    <row r="12" spans="1:19" x14ac:dyDescent="0.25">
      <c r="A12" s="484"/>
      <c r="B12" s="20" t="s">
        <v>63</v>
      </c>
      <c r="C12" s="338">
        <v>0</v>
      </c>
      <c r="D12" s="338">
        <v>0</v>
      </c>
      <c r="E12" s="214"/>
      <c r="F12" s="214"/>
      <c r="G12" s="21"/>
      <c r="I12" s="141"/>
      <c r="J12" s="141"/>
      <c r="K12" s="141"/>
      <c r="L12" s="141"/>
    </row>
    <row r="13" spans="1:19" x14ac:dyDescent="0.25">
      <c r="A13" s="484"/>
      <c r="B13" s="20" t="s">
        <v>64</v>
      </c>
      <c r="C13" s="338">
        <v>0</v>
      </c>
      <c r="D13" s="338">
        <v>0</v>
      </c>
      <c r="E13" s="214"/>
      <c r="F13" s="214"/>
      <c r="G13" s="21"/>
      <c r="I13" s="141"/>
      <c r="J13" s="141"/>
      <c r="K13" s="141"/>
      <c r="L13" s="141"/>
    </row>
    <row r="14" spans="1:19" x14ac:dyDescent="0.25">
      <c r="A14" s="484"/>
      <c r="B14" s="20" t="s">
        <v>65</v>
      </c>
      <c r="C14" s="339">
        <v>0</v>
      </c>
      <c r="D14" s="339">
        <v>0</v>
      </c>
      <c r="E14" s="231"/>
      <c r="F14" s="231"/>
      <c r="G14" s="21"/>
      <c r="I14" s="141"/>
      <c r="J14" s="141"/>
      <c r="K14" s="141"/>
      <c r="L14" s="141"/>
    </row>
    <row r="15" spans="1:19" x14ac:dyDescent="0.25">
      <c r="A15" s="232"/>
      <c r="B15" s="20" t="s">
        <v>66</v>
      </c>
      <c r="C15" s="339">
        <v>0</v>
      </c>
      <c r="D15" s="339">
        <v>0</v>
      </c>
      <c r="E15" s="231"/>
      <c r="F15" s="231"/>
      <c r="G15" s="21"/>
      <c r="I15" s="141"/>
      <c r="J15" s="141"/>
      <c r="K15" s="141"/>
      <c r="L15" s="141"/>
    </row>
    <row r="16" spans="1:19" x14ac:dyDescent="0.25">
      <c r="A16" s="232"/>
      <c r="B16" s="20" t="s">
        <v>67</v>
      </c>
      <c r="C16" s="339">
        <v>0</v>
      </c>
      <c r="D16" s="339">
        <v>0</v>
      </c>
      <c r="E16" s="231"/>
      <c r="F16" s="231"/>
      <c r="G16" s="21"/>
      <c r="I16" s="141"/>
      <c r="J16" s="141"/>
      <c r="K16" s="141"/>
      <c r="L16" s="141"/>
    </row>
    <row r="17" spans="1:41" x14ac:dyDescent="0.25">
      <c r="A17" s="232"/>
      <c r="B17" s="233" t="s">
        <v>68</v>
      </c>
      <c r="C17" s="338">
        <v>0</v>
      </c>
      <c r="D17" s="338">
        <v>0</v>
      </c>
      <c r="E17" s="231"/>
      <c r="F17" s="20"/>
      <c r="G17" s="21"/>
      <c r="I17" s="141"/>
      <c r="J17" s="141"/>
      <c r="K17" s="141"/>
      <c r="L17" s="327"/>
    </row>
    <row r="18" spans="1:41" x14ac:dyDescent="0.25">
      <c r="A18" s="76"/>
      <c r="B18" s="233" t="s">
        <v>68</v>
      </c>
      <c r="C18" s="338">
        <v>0</v>
      </c>
      <c r="D18" s="338">
        <v>0</v>
      </c>
      <c r="E18" s="231"/>
      <c r="F18" s="231"/>
      <c r="G18" s="21"/>
      <c r="I18" s="141"/>
      <c r="J18" s="141"/>
      <c r="K18" s="141"/>
      <c r="L18" s="141"/>
    </row>
    <row r="19" spans="1:41" x14ac:dyDescent="0.25">
      <c r="A19" s="76"/>
      <c r="B19" s="233" t="s">
        <v>68</v>
      </c>
      <c r="C19" s="338">
        <v>0</v>
      </c>
      <c r="D19" s="338">
        <v>0</v>
      </c>
      <c r="E19" s="231"/>
      <c r="F19" s="231"/>
      <c r="G19" s="21"/>
      <c r="I19" s="141"/>
      <c r="J19" s="141"/>
      <c r="K19" s="141"/>
      <c r="L19" s="141"/>
    </row>
    <row r="20" spans="1:41" x14ac:dyDescent="0.25">
      <c r="A20" s="73"/>
      <c r="B20" s="215" t="s">
        <v>69</v>
      </c>
      <c r="C20" s="260">
        <f>SUM(C8:C19)</f>
        <v>0</v>
      </c>
      <c r="D20" s="260">
        <f>SUM(D8:D19)</f>
        <v>0</v>
      </c>
      <c r="E20" s="216"/>
      <c r="F20" s="216"/>
      <c r="G20" s="91"/>
      <c r="I20" s="141"/>
      <c r="J20" s="141"/>
      <c r="K20" s="141"/>
      <c r="L20" s="141"/>
    </row>
    <row r="21" spans="1:41" x14ac:dyDescent="0.25">
      <c r="B21" s="41"/>
      <c r="I21" s="141"/>
      <c r="J21" s="141"/>
    </row>
    <row r="22" spans="1:41" x14ac:dyDescent="0.25">
      <c r="B22" s="41"/>
    </row>
    <row r="23" spans="1:41" ht="41.25" customHeight="1" x14ac:dyDescent="0.25">
      <c r="A23" s="489" t="s">
        <v>70</v>
      </c>
      <c r="B23" s="490"/>
      <c r="C23" s="270"/>
      <c r="D23" s="274"/>
      <c r="E23" s="278"/>
      <c r="F23" s="270"/>
      <c r="G23" s="274"/>
    </row>
    <row r="24" spans="1:41" ht="18.75" x14ac:dyDescent="0.3">
      <c r="A24" s="491"/>
      <c r="B24" s="492"/>
      <c r="C24" s="487" t="s">
        <v>71</v>
      </c>
      <c r="D24" s="488"/>
      <c r="E24" s="279"/>
      <c r="F24" s="487" t="s">
        <v>72</v>
      </c>
      <c r="G24" s="488"/>
    </row>
    <row r="25" spans="1:41" x14ac:dyDescent="0.25">
      <c r="A25" s="280"/>
      <c r="B25" s="281"/>
      <c r="C25" s="280"/>
      <c r="D25" s="282"/>
      <c r="E25" s="279"/>
      <c r="F25" s="280"/>
      <c r="G25" s="282"/>
    </row>
    <row r="26" spans="1:41" x14ac:dyDescent="0.25">
      <c r="A26" s="280"/>
      <c r="B26" s="283"/>
      <c r="C26" s="485" t="s">
        <v>73</v>
      </c>
      <c r="D26" s="486"/>
      <c r="E26" s="279"/>
      <c r="F26" s="485" t="s">
        <v>73</v>
      </c>
      <c r="G26" s="486"/>
    </row>
    <row r="27" spans="1:41" x14ac:dyDescent="0.25">
      <c r="A27" s="286"/>
      <c r="B27" s="275" t="s">
        <v>74</v>
      </c>
      <c r="C27" s="284" t="s">
        <v>75</v>
      </c>
      <c r="D27" s="285" t="s">
        <v>76</v>
      </c>
      <c r="E27" s="287"/>
      <c r="F27" s="284" t="s">
        <v>75</v>
      </c>
      <c r="G27" s="285" t="s">
        <v>76</v>
      </c>
    </row>
    <row r="28" spans="1:41" x14ac:dyDescent="0.25">
      <c r="A28" s="72" t="s">
        <v>77</v>
      </c>
      <c r="B28" s="208" t="s">
        <v>58</v>
      </c>
      <c r="C28" s="221">
        <f>IF('Lookup Table'!$X$42=TRUE,'Benefits Estimator'!C8,0)</f>
        <v>0</v>
      </c>
      <c r="D28" s="217">
        <f>IF('Lookup Table'!$X$42=TRUE,'Benefits Estimator'!D8,0)</f>
        <v>0</v>
      </c>
      <c r="E28" s="223"/>
      <c r="F28" s="221">
        <f>IF('Lookup Table'!$Y$42=TRUE,'Benefits Estimator'!C8,0)</f>
        <v>0</v>
      </c>
      <c r="G28" s="235">
        <f>IF('Lookup Table'!$Y$42=TRUE,'Benefits Estimator'!D8,0)</f>
        <v>0</v>
      </c>
      <c r="U28" s="5"/>
      <c r="V28" s="5"/>
      <c r="W28" s="5"/>
      <c r="X28" s="5"/>
      <c r="Y28" s="5"/>
      <c r="Z28" s="5"/>
      <c r="AA28" s="5"/>
      <c r="AC28" s="5"/>
      <c r="AF28" s="5"/>
      <c r="AG28" s="5"/>
      <c r="AH28" s="5"/>
      <c r="AI28" s="5"/>
      <c r="AK28" s="5"/>
      <c r="AL28" s="5"/>
      <c r="AM28" s="5"/>
      <c r="AO28" s="5"/>
    </row>
    <row r="29" spans="1:41" x14ac:dyDescent="0.25">
      <c r="A29" s="76" t="s">
        <v>78</v>
      </c>
      <c r="B29" s="20" t="s">
        <v>60</v>
      </c>
      <c r="C29" s="222">
        <f>IF('Lookup Table'!$X$43=TRUE,'Benefits Estimator'!C9,0)</f>
        <v>0</v>
      </c>
      <c r="D29" s="218">
        <f>IF('Lookup Table'!$X$43=TRUE,'Benefits Estimator'!D9,0)</f>
        <v>0</v>
      </c>
      <c r="E29" s="223"/>
      <c r="F29" s="222">
        <f>IF('Lookup Table'!$Y$43=TRUE,'Benefits Estimator'!C9,0)</f>
        <v>0</v>
      </c>
      <c r="G29" s="223">
        <f>IF('Lookup Table'!$Y$43=TRUE,'Benefits Estimator'!D9,0)</f>
        <v>0</v>
      </c>
      <c r="U29" s="5"/>
      <c r="V29" s="5"/>
      <c r="W29" s="5"/>
      <c r="X29" s="5"/>
      <c r="Y29" s="5"/>
      <c r="Z29" s="5"/>
      <c r="AA29" s="5"/>
      <c r="AC29" s="5"/>
      <c r="AF29" s="5"/>
      <c r="AG29" s="5"/>
      <c r="AH29" s="5"/>
      <c r="AI29" s="5"/>
      <c r="AK29" s="5"/>
      <c r="AL29" s="5"/>
      <c r="AM29" s="5"/>
      <c r="AO29" s="5"/>
    </row>
    <row r="30" spans="1:41" x14ac:dyDescent="0.25">
      <c r="A30" s="76" t="s">
        <v>79</v>
      </c>
      <c r="B30" s="20" t="s">
        <v>61</v>
      </c>
      <c r="C30" s="222">
        <f>IF('Lookup Table'!$X$44=TRUE,'Benefits Estimator'!C10,0)</f>
        <v>0</v>
      </c>
      <c r="D30" s="218">
        <f>IF('Lookup Table'!$X$44=TRUE,'Benefits Estimator'!D10,0)</f>
        <v>0</v>
      </c>
      <c r="E30" s="223"/>
      <c r="F30" s="222">
        <f>IF('Lookup Table'!$Y$44=TRUE,'Benefits Estimator'!C10,0)</f>
        <v>0</v>
      </c>
      <c r="G30" s="223">
        <f>IF('Lookup Table'!$Y$44=TRUE,'Benefits Estimator'!D10,0)</f>
        <v>0</v>
      </c>
      <c r="U30" s="5"/>
      <c r="V30" s="5"/>
      <c r="W30" s="5"/>
      <c r="X30" s="5"/>
      <c r="Y30" s="5"/>
      <c r="Z30" s="5"/>
      <c r="AA30" s="5"/>
      <c r="AC30" s="5"/>
      <c r="AF30" s="5"/>
      <c r="AG30" s="5"/>
      <c r="AH30" s="5"/>
      <c r="AI30" s="5"/>
      <c r="AK30" s="5"/>
      <c r="AL30" s="5"/>
      <c r="AM30" s="5"/>
      <c r="AO30" s="5"/>
    </row>
    <row r="31" spans="1:41" x14ac:dyDescent="0.25">
      <c r="A31" s="76" t="s">
        <v>80</v>
      </c>
      <c r="B31" s="20" t="s">
        <v>62</v>
      </c>
      <c r="C31" s="222">
        <f>IF('Lookup Table'!$X$45=TRUE,'Benefits Estimator'!C11,0)</f>
        <v>0</v>
      </c>
      <c r="D31" s="218">
        <f>IF('Lookup Table'!$X$45=TRUE,'Benefits Estimator'!D11,0)</f>
        <v>0</v>
      </c>
      <c r="E31" s="223"/>
      <c r="F31" s="222">
        <f>IF('Lookup Table'!$Y$45=TRUE,'Benefits Estimator'!C11,0)</f>
        <v>0</v>
      </c>
      <c r="G31" s="223">
        <f>IF('Lookup Table'!$Y$45=TRUE,'Benefits Estimator'!D11,0)</f>
        <v>0</v>
      </c>
      <c r="U31" s="5"/>
      <c r="V31" s="5"/>
      <c r="W31" s="5"/>
      <c r="X31" s="5"/>
      <c r="Y31" s="5"/>
      <c r="Z31" s="5"/>
      <c r="AA31" s="5"/>
      <c r="AC31" s="5"/>
      <c r="AF31" s="5"/>
      <c r="AG31" s="5"/>
      <c r="AH31" s="5"/>
      <c r="AI31" s="5"/>
      <c r="AK31" s="5"/>
      <c r="AL31" s="5"/>
      <c r="AM31" s="5"/>
      <c r="AO31" s="5"/>
    </row>
    <row r="32" spans="1:41" x14ac:dyDescent="0.25">
      <c r="A32" s="76" t="s">
        <v>81</v>
      </c>
      <c r="B32" s="20" t="s">
        <v>63</v>
      </c>
      <c r="C32" s="222">
        <f>IF('Lookup Table'!$X$46=TRUE,'Benefits Estimator'!C12,0)</f>
        <v>0</v>
      </c>
      <c r="D32" s="218">
        <f>IF('Lookup Table'!$X$46=TRUE,'Benefits Estimator'!D12,0)</f>
        <v>0</v>
      </c>
      <c r="E32" s="223"/>
      <c r="F32" s="222">
        <f>IF('Lookup Table'!$Y$46=TRUE,'Benefits Estimator'!C12,0)</f>
        <v>0</v>
      </c>
      <c r="G32" s="223">
        <f>IF('Lookup Table'!$Y$46=TRUE,'Benefits Estimator'!D12,0)</f>
        <v>0</v>
      </c>
      <c r="U32" s="5"/>
      <c r="V32" s="5"/>
      <c r="W32" s="5"/>
      <c r="X32" s="5"/>
      <c r="Y32" s="5"/>
      <c r="Z32" s="5"/>
      <c r="AA32" s="5"/>
      <c r="AC32" s="5"/>
      <c r="AF32" s="5"/>
      <c r="AG32" s="5"/>
      <c r="AH32" s="5"/>
      <c r="AI32" s="5"/>
      <c r="AK32" s="5"/>
      <c r="AL32" s="5"/>
      <c r="AM32" s="5"/>
      <c r="AO32" s="5"/>
    </row>
    <row r="33" spans="1:41" x14ac:dyDescent="0.25">
      <c r="A33" s="76"/>
      <c r="B33" s="20" t="s">
        <v>64</v>
      </c>
      <c r="C33" s="222">
        <f>IF('Lookup Table'!$X$47=TRUE,'Benefits Estimator'!C13,0)</f>
        <v>0</v>
      </c>
      <c r="D33" s="218">
        <f>IF('Lookup Table'!$X$47=TRUE,'Benefits Estimator'!D13,0)</f>
        <v>0</v>
      </c>
      <c r="E33" s="223"/>
      <c r="F33" s="222">
        <f>IF('Lookup Table'!$Y$47=TRUE,'Benefits Estimator'!C13,0)</f>
        <v>0</v>
      </c>
      <c r="G33" s="223">
        <f>IF('Lookup Table'!$Y$47=TRUE,'Benefits Estimator'!D13,0)</f>
        <v>0</v>
      </c>
      <c r="U33" s="5"/>
      <c r="V33" s="5"/>
      <c r="W33" s="5"/>
      <c r="X33" s="5"/>
      <c r="Y33" s="5"/>
      <c r="Z33" s="5"/>
      <c r="AA33" s="5"/>
      <c r="AC33" s="5"/>
      <c r="AF33" s="5"/>
      <c r="AG33" s="5"/>
      <c r="AH33" s="5"/>
      <c r="AI33" s="5"/>
      <c r="AK33" s="5"/>
      <c r="AL33" s="5"/>
      <c r="AM33" s="5"/>
      <c r="AO33" s="5"/>
    </row>
    <row r="34" spans="1:41" x14ac:dyDescent="0.25">
      <c r="A34" s="76"/>
      <c r="B34" s="20" t="str">
        <f>B14</f>
        <v>Paid Leave (Total of all that apply)</v>
      </c>
      <c r="C34" s="222">
        <f>IF('Lookup Table'!$X$48=TRUE,'Benefits Estimator'!C14,0)</f>
        <v>0</v>
      </c>
      <c r="D34" s="218">
        <f>IF('Lookup Table'!$X$48=TRUE,'Benefits Estimator'!D14,0)</f>
        <v>0</v>
      </c>
      <c r="E34" s="223"/>
      <c r="F34" s="222">
        <f>IF('Lookup Table'!$Y$48=TRUE,'Benefits Estimator'!C14,0)</f>
        <v>0</v>
      </c>
      <c r="G34" s="223">
        <f>IF('Lookup Table'!$Y$48=TRUE,'Benefits Estimator'!D14,0)</f>
        <v>0</v>
      </c>
      <c r="U34" s="5"/>
      <c r="V34" s="5"/>
      <c r="W34" s="5"/>
      <c r="X34" s="5"/>
      <c r="Y34" s="5"/>
      <c r="Z34" s="5"/>
      <c r="AA34" s="5"/>
      <c r="AC34" s="5"/>
      <c r="AF34" s="5"/>
      <c r="AG34" s="5"/>
      <c r="AH34" s="5"/>
      <c r="AI34" s="5"/>
      <c r="AK34" s="5"/>
      <c r="AL34" s="5"/>
      <c r="AM34" s="5"/>
      <c r="AO34" s="5"/>
    </row>
    <row r="35" spans="1:41" x14ac:dyDescent="0.25">
      <c r="A35" s="220"/>
      <c r="B35" s="20" t="s">
        <v>82</v>
      </c>
      <c r="C35" s="222">
        <f>IF('Lookup Table'!$X$49=TRUE,'Benefits Estimator'!C15,0)</f>
        <v>0</v>
      </c>
      <c r="D35" s="218">
        <f>IF('Lookup Table'!$X$49=TRUE,'Benefits Estimator'!D15,0)</f>
        <v>0</v>
      </c>
      <c r="E35" s="223"/>
      <c r="F35" s="222">
        <f>IF('Lookup Table'!$Y$49=TRUE,'Benefits Estimator'!C15,0)</f>
        <v>0</v>
      </c>
      <c r="G35" s="223">
        <f>IF('Lookup Table'!$Y$49=TRUE,'Benefits Estimator'!D15,0)</f>
        <v>0</v>
      </c>
    </row>
    <row r="36" spans="1:41" x14ac:dyDescent="0.25">
      <c r="A36" s="76"/>
      <c r="B36" s="20" t="s">
        <v>67</v>
      </c>
      <c r="C36" s="222">
        <f>IF('Lookup Table'!$X$50=TRUE,'Benefits Estimator'!C16,0)</f>
        <v>0</v>
      </c>
      <c r="D36" s="218">
        <f>IF('Lookup Table'!$X$50=TRUE,'Benefits Estimator'!D16,0)</f>
        <v>0</v>
      </c>
      <c r="E36" s="223"/>
      <c r="F36" s="222">
        <f>IF('Lookup Table'!$Y$50=TRUE,'Benefits Estimator'!C16,0)</f>
        <v>0</v>
      </c>
      <c r="G36" s="223">
        <f>IF('Lookup Table'!$Y$50=TRUE,'Benefits Estimator'!D16,0)</f>
        <v>0</v>
      </c>
    </row>
    <row r="37" spans="1:41" x14ac:dyDescent="0.25">
      <c r="A37" s="76"/>
      <c r="B37" s="20" t="s">
        <v>68</v>
      </c>
      <c r="C37" s="222">
        <f>IF('Lookup Table'!$X$51=TRUE,'Benefits Estimator'!C17,0)</f>
        <v>0</v>
      </c>
      <c r="D37" s="218">
        <f>IF('Lookup Table'!$X$51=TRUE,'Benefits Estimator'!D17,0)</f>
        <v>0</v>
      </c>
      <c r="E37" s="223"/>
      <c r="F37" s="222">
        <f>IF('Lookup Table'!$Y$51=TRUE,'Benefits Estimator'!C17,0)</f>
        <v>0</v>
      </c>
      <c r="G37" s="223">
        <f>IF('Lookup Table'!$Y$51=TRUE,'Benefits Estimator'!D17,0)</f>
        <v>0</v>
      </c>
    </row>
    <row r="38" spans="1:41" x14ac:dyDescent="0.25">
      <c r="A38" s="76"/>
      <c r="B38" s="20" t="s">
        <v>68</v>
      </c>
      <c r="C38" s="222">
        <f>IF('Lookup Table'!$X$52=TRUE,'Benefits Estimator'!C18,0)</f>
        <v>0</v>
      </c>
      <c r="D38" s="218">
        <f>IF('Lookup Table'!$X$52=TRUE,'Benefits Estimator'!D18,0)</f>
        <v>0</v>
      </c>
      <c r="E38" s="223"/>
      <c r="F38" s="222">
        <f>IF('Lookup Table'!$Y$52=TRUE,'Benefits Estimator'!C18,0)</f>
        <v>0</v>
      </c>
      <c r="G38" s="223">
        <f>IF('Lookup Table'!$Y$52=TRUE,'Benefits Estimator'!D18,0)</f>
        <v>0</v>
      </c>
    </row>
    <row r="39" spans="1:41" x14ac:dyDescent="0.25">
      <c r="A39" s="76"/>
      <c r="B39" s="20" t="s">
        <v>68</v>
      </c>
      <c r="C39" s="222">
        <f>IF('Lookup Table'!$X$53=TRUE,'Benefits Estimator'!C19,0)</f>
        <v>0</v>
      </c>
      <c r="D39" s="218">
        <f>IF('Lookup Table'!$X$53=TRUE,'Benefits Estimator'!D19,0)</f>
        <v>0</v>
      </c>
      <c r="E39" s="223"/>
      <c r="F39" s="222">
        <f>IF('Lookup Table'!$Y$53=TRUE,'Benefits Estimator'!C19,0)</f>
        <v>0</v>
      </c>
      <c r="G39" s="224">
        <f>IF('Lookup Table'!$Y$53=TRUE,'Benefits Estimator'!D19,0)</f>
        <v>0</v>
      </c>
    </row>
    <row r="40" spans="1:41" ht="15.75" customHeight="1" x14ac:dyDescent="0.25">
      <c r="A40" s="44"/>
      <c r="B40" s="316" t="s">
        <v>69</v>
      </c>
      <c r="C40" s="334">
        <f>SUM(C28:C39)</f>
        <v>0</v>
      </c>
      <c r="D40" s="335">
        <f>SUM(D28:D39)</f>
        <v>0</v>
      </c>
      <c r="E40" s="336"/>
      <c r="F40" s="334">
        <f>SUM(F28:F39)</f>
        <v>0</v>
      </c>
      <c r="G40" s="335">
        <f>SUM(G28:G39)</f>
        <v>0</v>
      </c>
      <c r="H40" s="225" t="s">
        <v>83</v>
      </c>
      <c r="I40" s="226"/>
      <c r="J40" s="226"/>
      <c r="K40" s="226"/>
      <c r="L40" s="227"/>
      <c r="M40" s="227"/>
    </row>
    <row r="41" spans="1:41" x14ac:dyDescent="0.25">
      <c r="A41" s="62"/>
      <c r="B41" s="93"/>
      <c r="C41" s="328"/>
      <c r="D41" s="329"/>
      <c r="E41" s="224"/>
      <c r="F41" s="62"/>
      <c r="G41" s="91"/>
      <c r="H41" s="228" t="s">
        <v>84</v>
      </c>
      <c r="I41" s="229"/>
      <c r="J41" s="229"/>
      <c r="K41" s="229"/>
      <c r="L41" s="229"/>
      <c r="M41" s="230"/>
    </row>
    <row r="42" spans="1:41" x14ac:dyDescent="0.25">
      <c r="C42" s="140"/>
      <c r="D42" s="140"/>
      <c r="E42" s="140"/>
    </row>
    <row r="43" spans="1:41" x14ac:dyDescent="0.25">
      <c r="C43" s="140"/>
      <c r="D43" s="140"/>
      <c r="E43" s="140"/>
    </row>
    <row r="44" spans="1:41" x14ac:dyDescent="0.25">
      <c r="C44" s="140"/>
      <c r="D44" s="140"/>
      <c r="E44" s="140"/>
    </row>
    <row r="45" spans="1:41" x14ac:dyDescent="0.25">
      <c r="C45" s="140"/>
      <c r="D45" s="140"/>
      <c r="E45" s="140"/>
    </row>
    <row r="46" spans="1:41" x14ac:dyDescent="0.25">
      <c r="C46" s="140"/>
      <c r="D46" s="140"/>
      <c r="E46" s="140"/>
    </row>
    <row r="47" spans="1:41" x14ac:dyDescent="0.25">
      <c r="C47" s="140"/>
      <c r="D47" s="140"/>
      <c r="E47" s="140"/>
    </row>
    <row r="48" spans="1:41" x14ac:dyDescent="0.25">
      <c r="E48" s="140"/>
    </row>
    <row r="49" spans="2:5" x14ac:dyDescent="0.25">
      <c r="C49" s="141"/>
      <c r="D49" s="141"/>
      <c r="E49" s="141"/>
    </row>
    <row r="52" spans="2:5" x14ac:dyDescent="0.25">
      <c r="C52" s="140"/>
      <c r="D52" s="140"/>
    </row>
    <row r="54" spans="2:5" x14ac:dyDescent="0.25">
      <c r="B54" s="6"/>
    </row>
  </sheetData>
  <sheetProtection algorithmName="SHA-512" hashValue="5a3Y+y3lbH0TfiDA24m7Oh/PlUO6HBf5wqPNuEEb0eE12GrCod1kbkjjXLVoiogl+pKEA2MCzvNZrtImezsjIA==" saltValue="TVGW9G6GSb6YlWIPIi7snA==" spinCount="100000" sheet="1" objects="1" scenarios="1"/>
  <mergeCells count="10">
    <mergeCell ref="C26:D26"/>
    <mergeCell ref="F26:G26"/>
    <mergeCell ref="C24:D24"/>
    <mergeCell ref="F24:G24"/>
    <mergeCell ref="A23:B24"/>
    <mergeCell ref="A2:G3"/>
    <mergeCell ref="A5:G5"/>
    <mergeCell ref="C6:D6"/>
    <mergeCell ref="I6:J6"/>
    <mergeCell ref="A9:A14"/>
  </mergeCells>
  <pageMargins left="0.7" right="0.7" top="0.75" bottom="0.75" header="0.3" footer="0.3"/>
  <pageSetup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4</xdr:col>
                    <xdr:colOff>266700</xdr:colOff>
                    <xdr:row>6</xdr:row>
                    <xdr:rowOff>514350</xdr:rowOff>
                  </from>
                  <to>
                    <xdr:col>4</xdr:col>
                    <xdr:colOff>523875</xdr:colOff>
                    <xdr:row>8</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4</xdr:col>
                    <xdr:colOff>266700</xdr:colOff>
                    <xdr:row>7</xdr:row>
                    <xdr:rowOff>171450</xdr:rowOff>
                  </from>
                  <to>
                    <xdr:col>4</xdr:col>
                    <xdr:colOff>476250</xdr:colOff>
                    <xdr:row>9</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4</xdr:col>
                    <xdr:colOff>266700</xdr:colOff>
                    <xdr:row>8</xdr:row>
                    <xdr:rowOff>161925</xdr:rowOff>
                  </from>
                  <to>
                    <xdr:col>4</xdr:col>
                    <xdr:colOff>476250</xdr:colOff>
                    <xdr:row>10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4</xdr:col>
                    <xdr:colOff>266700</xdr:colOff>
                    <xdr:row>9</xdr:row>
                    <xdr:rowOff>171450</xdr:rowOff>
                  </from>
                  <to>
                    <xdr:col>4</xdr:col>
                    <xdr:colOff>476250</xdr:colOff>
                    <xdr:row>11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4</xdr:col>
                    <xdr:colOff>266700</xdr:colOff>
                    <xdr:row>10</xdr:row>
                    <xdr:rowOff>171450</xdr:rowOff>
                  </from>
                  <to>
                    <xdr:col>4</xdr:col>
                    <xdr:colOff>476250</xdr:colOff>
                    <xdr:row>12</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4</xdr:col>
                    <xdr:colOff>266700</xdr:colOff>
                    <xdr:row>11</xdr:row>
                    <xdr:rowOff>171450</xdr:rowOff>
                  </from>
                  <to>
                    <xdr:col>4</xdr:col>
                    <xdr:colOff>476250</xdr:colOff>
                    <xdr:row>13</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ltText="">
                <anchor moveWithCells="1">
                  <from>
                    <xdr:col>4</xdr:col>
                    <xdr:colOff>266700</xdr:colOff>
                    <xdr:row>12</xdr:row>
                    <xdr:rowOff>161925</xdr:rowOff>
                  </from>
                  <to>
                    <xdr:col>4</xdr:col>
                    <xdr:colOff>476250</xdr:colOff>
                    <xdr:row>14</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ltText="">
                <anchor moveWithCells="1">
                  <from>
                    <xdr:col>4</xdr:col>
                    <xdr:colOff>266700</xdr:colOff>
                    <xdr:row>13</xdr:row>
                    <xdr:rowOff>152400</xdr:rowOff>
                  </from>
                  <to>
                    <xdr:col>4</xdr:col>
                    <xdr:colOff>476250</xdr:colOff>
                    <xdr:row>15</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ltText="">
                <anchor moveWithCells="1">
                  <from>
                    <xdr:col>4</xdr:col>
                    <xdr:colOff>266700</xdr:colOff>
                    <xdr:row>17</xdr:row>
                    <xdr:rowOff>171450</xdr:rowOff>
                  </from>
                  <to>
                    <xdr:col>4</xdr:col>
                    <xdr:colOff>476250</xdr:colOff>
                    <xdr:row>19</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ltText="">
                <anchor moveWithCells="1">
                  <from>
                    <xdr:col>5</xdr:col>
                    <xdr:colOff>266700</xdr:colOff>
                    <xdr:row>6</xdr:row>
                    <xdr:rowOff>514350</xdr:rowOff>
                  </from>
                  <to>
                    <xdr:col>5</xdr:col>
                    <xdr:colOff>523875</xdr:colOff>
                    <xdr:row>8</xdr:row>
                    <xdr:rowOff>19050</xdr:rowOff>
                  </to>
                </anchor>
              </controlPr>
            </control>
          </mc:Choice>
        </mc:AlternateContent>
        <mc:AlternateContent xmlns:mc="http://schemas.openxmlformats.org/markup-compatibility/2006">
          <mc:Choice Requires="x14">
            <control shapeId="6155" r:id="rId14" name="Check Box 11">
              <controlPr defaultSize="0" autoFill="0" autoLine="0" autoPict="0" altText="">
                <anchor moveWithCells="1">
                  <from>
                    <xdr:col>5</xdr:col>
                    <xdr:colOff>266700</xdr:colOff>
                    <xdr:row>7</xdr:row>
                    <xdr:rowOff>171450</xdr:rowOff>
                  </from>
                  <to>
                    <xdr:col>5</xdr:col>
                    <xdr:colOff>476250</xdr:colOff>
                    <xdr:row>9</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ltText="">
                <anchor moveWithCells="1">
                  <from>
                    <xdr:col>5</xdr:col>
                    <xdr:colOff>266700</xdr:colOff>
                    <xdr:row>8</xdr:row>
                    <xdr:rowOff>161925</xdr:rowOff>
                  </from>
                  <to>
                    <xdr:col>5</xdr:col>
                    <xdr:colOff>476250</xdr:colOff>
                    <xdr:row>10</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ltText="">
                <anchor moveWithCells="1">
                  <from>
                    <xdr:col>5</xdr:col>
                    <xdr:colOff>266700</xdr:colOff>
                    <xdr:row>9</xdr:row>
                    <xdr:rowOff>171450</xdr:rowOff>
                  </from>
                  <to>
                    <xdr:col>5</xdr:col>
                    <xdr:colOff>476250</xdr:colOff>
                    <xdr:row>11</xdr:row>
                    <xdr:rowOff>19050</xdr:rowOff>
                  </to>
                </anchor>
              </controlPr>
            </control>
          </mc:Choice>
        </mc:AlternateContent>
        <mc:AlternateContent xmlns:mc="http://schemas.openxmlformats.org/markup-compatibility/2006">
          <mc:Choice Requires="x14">
            <control shapeId="6158" r:id="rId17" name="Check Box 14">
              <controlPr defaultSize="0" autoFill="0" autoLine="0" autoPict="0" altText="">
                <anchor moveWithCells="1">
                  <from>
                    <xdr:col>5</xdr:col>
                    <xdr:colOff>266700</xdr:colOff>
                    <xdr:row>10</xdr:row>
                    <xdr:rowOff>171450</xdr:rowOff>
                  </from>
                  <to>
                    <xdr:col>5</xdr:col>
                    <xdr:colOff>476250</xdr:colOff>
                    <xdr:row>12</xdr:row>
                    <xdr:rowOff>19050</xdr:rowOff>
                  </to>
                </anchor>
              </controlPr>
            </control>
          </mc:Choice>
        </mc:AlternateContent>
        <mc:AlternateContent xmlns:mc="http://schemas.openxmlformats.org/markup-compatibility/2006">
          <mc:Choice Requires="x14">
            <control shapeId="6159" r:id="rId18" name="Check Box 15">
              <controlPr defaultSize="0" autoFill="0" autoLine="0" autoPict="0" altText="">
                <anchor moveWithCells="1">
                  <from>
                    <xdr:col>5</xdr:col>
                    <xdr:colOff>266700</xdr:colOff>
                    <xdr:row>11</xdr:row>
                    <xdr:rowOff>171450</xdr:rowOff>
                  </from>
                  <to>
                    <xdr:col>5</xdr:col>
                    <xdr:colOff>476250</xdr:colOff>
                    <xdr:row>13</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ltText="">
                <anchor moveWithCells="1">
                  <from>
                    <xdr:col>5</xdr:col>
                    <xdr:colOff>266700</xdr:colOff>
                    <xdr:row>12</xdr:row>
                    <xdr:rowOff>161925</xdr:rowOff>
                  </from>
                  <to>
                    <xdr:col>5</xdr:col>
                    <xdr:colOff>476250</xdr:colOff>
                    <xdr:row>14</xdr:row>
                    <xdr:rowOff>9525</xdr:rowOff>
                  </to>
                </anchor>
              </controlPr>
            </control>
          </mc:Choice>
        </mc:AlternateContent>
        <mc:AlternateContent xmlns:mc="http://schemas.openxmlformats.org/markup-compatibility/2006">
          <mc:Choice Requires="x14">
            <control shapeId="6161" r:id="rId20" name="Check Box 17">
              <controlPr defaultSize="0" autoFill="0" autoLine="0" autoPict="0" altText="">
                <anchor moveWithCells="1">
                  <from>
                    <xdr:col>5</xdr:col>
                    <xdr:colOff>266700</xdr:colOff>
                    <xdr:row>13</xdr:row>
                    <xdr:rowOff>152400</xdr:rowOff>
                  </from>
                  <to>
                    <xdr:col>5</xdr:col>
                    <xdr:colOff>476250</xdr:colOff>
                    <xdr:row>15</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ltText="">
                <anchor moveWithCells="1">
                  <from>
                    <xdr:col>5</xdr:col>
                    <xdr:colOff>266700</xdr:colOff>
                    <xdr:row>17</xdr:row>
                    <xdr:rowOff>171450</xdr:rowOff>
                  </from>
                  <to>
                    <xdr:col>5</xdr:col>
                    <xdr:colOff>476250</xdr:colOff>
                    <xdr:row>19</xdr:row>
                    <xdr:rowOff>19050</xdr:rowOff>
                  </to>
                </anchor>
              </controlPr>
            </control>
          </mc:Choice>
        </mc:AlternateContent>
        <mc:AlternateContent xmlns:mc="http://schemas.openxmlformats.org/markup-compatibility/2006">
          <mc:Choice Requires="x14">
            <control shapeId="6179" r:id="rId22" name="Check Box 35">
              <controlPr defaultSize="0" autoFill="0" autoLine="0" autoPict="0" altText="">
                <anchor moveWithCells="1">
                  <from>
                    <xdr:col>4</xdr:col>
                    <xdr:colOff>266700</xdr:colOff>
                    <xdr:row>14</xdr:row>
                    <xdr:rowOff>180975</xdr:rowOff>
                  </from>
                  <to>
                    <xdr:col>4</xdr:col>
                    <xdr:colOff>476250</xdr:colOff>
                    <xdr:row>16</xdr:row>
                    <xdr:rowOff>28575</xdr:rowOff>
                  </to>
                </anchor>
              </controlPr>
            </control>
          </mc:Choice>
        </mc:AlternateContent>
        <mc:AlternateContent xmlns:mc="http://schemas.openxmlformats.org/markup-compatibility/2006">
          <mc:Choice Requires="x14">
            <control shapeId="6182" r:id="rId23" name="Check Box 38">
              <controlPr defaultSize="0" autoFill="0" autoLine="0" autoPict="0" altText="">
                <anchor moveWithCells="1">
                  <from>
                    <xdr:col>5</xdr:col>
                    <xdr:colOff>266700</xdr:colOff>
                    <xdr:row>14</xdr:row>
                    <xdr:rowOff>180975</xdr:rowOff>
                  </from>
                  <to>
                    <xdr:col>5</xdr:col>
                    <xdr:colOff>476250</xdr:colOff>
                    <xdr:row>16</xdr:row>
                    <xdr:rowOff>28575</xdr:rowOff>
                  </to>
                </anchor>
              </controlPr>
            </control>
          </mc:Choice>
        </mc:AlternateContent>
        <mc:AlternateContent xmlns:mc="http://schemas.openxmlformats.org/markup-compatibility/2006">
          <mc:Choice Requires="x14">
            <control shapeId="6183" r:id="rId24" name="Check Box 39">
              <controlPr defaultSize="0" autoFill="0" autoLine="0" autoPict="0" altText="">
                <anchor moveWithCells="1">
                  <from>
                    <xdr:col>4</xdr:col>
                    <xdr:colOff>266700</xdr:colOff>
                    <xdr:row>15</xdr:row>
                    <xdr:rowOff>180975</xdr:rowOff>
                  </from>
                  <to>
                    <xdr:col>4</xdr:col>
                    <xdr:colOff>476250</xdr:colOff>
                    <xdr:row>17</xdr:row>
                    <xdr:rowOff>28575</xdr:rowOff>
                  </to>
                </anchor>
              </controlPr>
            </control>
          </mc:Choice>
        </mc:AlternateContent>
        <mc:AlternateContent xmlns:mc="http://schemas.openxmlformats.org/markup-compatibility/2006">
          <mc:Choice Requires="x14">
            <control shapeId="6184" r:id="rId25" name="Check Box 40">
              <controlPr defaultSize="0" autoFill="0" autoLine="0" autoPict="0" altText="">
                <anchor moveWithCells="1">
                  <from>
                    <xdr:col>4</xdr:col>
                    <xdr:colOff>266700</xdr:colOff>
                    <xdr:row>16</xdr:row>
                    <xdr:rowOff>171450</xdr:rowOff>
                  </from>
                  <to>
                    <xdr:col>4</xdr:col>
                    <xdr:colOff>476250</xdr:colOff>
                    <xdr:row>18</xdr:row>
                    <xdr:rowOff>19050</xdr:rowOff>
                  </to>
                </anchor>
              </controlPr>
            </control>
          </mc:Choice>
        </mc:AlternateContent>
        <mc:AlternateContent xmlns:mc="http://schemas.openxmlformats.org/markup-compatibility/2006">
          <mc:Choice Requires="x14">
            <control shapeId="6186" r:id="rId26" name="Check Box 42">
              <controlPr defaultSize="0" autoFill="0" autoLine="0" autoPict="0" altText="">
                <anchor moveWithCells="1">
                  <from>
                    <xdr:col>5</xdr:col>
                    <xdr:colOff>266700</xdr:colOff>
                    <xdr:row>16</xdr:row>
                    <xdr:rowOff>171450</xdr:rowOff>
                  </from>
                  <to>
                    <xdr:col>5</xdr:col>
                    <xdr:colOff>476250</xdr:colOff>
                    <xdr:row>18</xdr:row>
                    <xdr:rowOff>19050</xdr:rowOff>
                  </to>
                </anchor>
              </controlPr>
            </control>
          </mc:Choice>
        </mc:AlternateContent>
        <mc:AlternateContent xmlns:mc="http://schemas.openxmlformats.org/markup-compatibility/2006">
          <mc:Choice Requires="x14">
            <control shapeId="6187" r:id="rId27" name="Check Box 43">
              <controlPr defaultSize="0" autoFill="0" autoLine="0" autoPict="0" altText="">
                <anchor moveWithCells="1">
                  <from>
                    <xdr:col>5</xdr:col>
                    <xdr:colOff>266700</xdr:colOff>
                    <xdr:row>15</xdr:row>
                    <xdr:rowOff>180975</xdr:rowOff>
                  </from>
                  <to>
                    <xdr:col>5</xdr:col>
                    <xdr:colOff>476250</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DF05F-E072-465C-B7B5-3E4D042EA9B7}">
  <dimension ref="A1:Y106"/>
  <sheetViews>
    <sheetView showGridLines="0" topLeftCell="A6" workbookViewId="0">
      <selection activeCell="D18" sqref="D18"/>
    </sheetView>
  </sheetViews>
  <sheetFormatPr defaultRowHeight="15" x14ac:dyDescent="0.25"/>
  <cols>
    <col min="1" max="1" width="81.7109375" customWidth="1"/>
    <col min="2" max="5" width="13.140625" customWidth="1"/>
    <col min="6" max="6" width="12.7109375" customWidth="1"/>
    <col min="7" max="20" width="11.7109375" customWidth="1"/>
    <col min="21" max="21" width="6.140625" customWidth="1"/>
    <col min="22" max="24" width="12.28515625" customWidth="1"/>
  </cols>
  <sheetData>
    <row r="1" spans="1:23" ht="48.2" customHeight="1" x14ac:dyDescent="0.25">
      <c r="A1" s="263" t="s">
        <v>85</v>
      </c>
      <c r="B1" s="42"/>
      <c r="C1" s="42"/>
      <c r="D1" s="42"/>
      <c r="E1" s="246"/>
      <c r="F1" s="247"/>
    </row>
    <row r="2" spans="1:23" ht="55.5" customHeight="1" x14ac:dyDescent="0.25">
      <c r="A2" s="305" t="s">
        <v>86</v>
      </c>
      <c r="B2" s="20"/>
      <c r="C2" s="20"/>
      <c r="D2" s="261" t="s">
        <v>87</v>
      </c>
      <c r="E2" s="262" t="s">
        <v>88</v>
      </c>
      <c r="F2" s="262" t="s">
        <v>89</v>
      </c>
    </row>
    <row r="3" spans="1:23" x14ac:dyDescent="0.25">
      <c r="A3" s="30" t="s">
        <v>90</v>
      </c>
      <c r="B3" s="31"/>
      <c r="C3" s="31"/>
      <c r="D3" s="134">
        <f>Allotments!C33+Allotments!D33</f>
        <v>0</v>
      </c>
      <c r="E3" s="78">
        <f>Allotments!C35+Allotments!D35</f>
        <v>0</v>
      </c>
      <c r="F3" s="78">
        <f>Allotments!E50</f>
        <v>0</v>
      </c>
    </row>
    <row r="4" spans="1:23" x14ac:dyDescent="0.25">
      <c r="A4" s="11"/>
      <c r="B4" s="5"/>
      <c r="C4" s="5"/>
      <c r="F4" s="24"/>
    </row>
    <row r="5" spans="1:23" ht="35.25" customHeight="1" x14ac:dyDescent="0.25">
      <c r="A5" s="530" t="s">
        <v>91</v>
      </c>
      <c r="B5" s="506"/>
      <c r="C5" s="506"/>
      <c r="D5" s="506"/>
      <c r="E5" s="506"/>
      <c r="F5" s="507"/>
      <c r="J5" s="6"/>
    </row>
    <row r="6" spans="1:23" ht="245.25" customHeight="1" x14ac:dyDescent="0.25">
      <c r="A6" s="534" t="s">
        <v>92</v>
      </c>
      <c r="B6" s="455"/>
      <c r="C6" s="455"/>
      <c r="D6" s="455"/>
      <c r="E6" s="455"/>
      <c r="F6" s="456"/>
    </row>
    <row r="7" spans="1:23" x14ac:dyDescent="0.25">
      <c r="A7" s="79"/>
      <c r="B7" s="536" t="s">
        <v>93</v>
      </c>
      <c r="C7" s="537"/>
      <c r="D7" s="538"/>
      <c r="E7" s="81"/>
      <c r="F7" s="82"/>
    </row>
    <row r="8" spans="1:23" ht="78.75" customHeight="1" x14ac:dyDescent="0.25">
      <c r="A8" s="80"/>
      <c r="B8" s="539"/>
      <c r="C8" s="540"/>
      <c r="D8" s="541"/>
      <c r="E8" s="83"/>
      <c r="F8" s="84"/>
      <c r="J8" s="6"/>
      <c r="O8" s="6"/>
    </row>
    <row r="9" spans="1:23" ht="17.25" customHeight="1" x14ac:dyDescent="0.25">
      <c r="A9" s="321" t="s">
        <v>94</v>
      </c>
      <c r="B9" s="289"/>
      <c r="C9" s="289" t="s">
        <v>95</v>
      </c>
      <c r="D9" s="289" t="s">
        <v>96</v>
      </c>
      <c r="E9" s="266"/>
      <c r="F9" s="290"/>
      <c r="K9" s="531"/>
      <c r="L9" s="531"/>
      <c r="M9" s="531"/>
      <c r="N9" s="531"/>
      <c r="O9" s="531"/>
      <c r="P9" s="531"/>
      <c r="Q9" s="531"/>
      <c r="S9" s="531"/>
      <c r="T9" s="459"/>
      <c r="U9" s="459"/>
      <c r="V9" s="459"/>
      <c r="W9" s="94"/>
    </row>
    <row r="10" spans="1:23" ht="42.75" customHeight="1" x14ac:dyDescent="0.25">
      <c r="A10" s="323" t="s">
        <v>97</v>
      </c>
      <c r="B10" s="276" t="s">
        <v>98</v>
      </c>
      <c r="C10" s="276" t="s">
        <v>99</v>
      </c>
      <c r="D10" s="276" t="s">
        <v>100</v>
      </c>
      <c r="E10" s="276" t="s">
        <v>101</v>
      </c>
      <c r="F10" s="291" t="s">
        <v>102</v>
      </c>
    </row>
    <row r="11" spans="1:23" ht="14.25" customHeight="1" x14ac:dyDescent="0.25">
      <c r="A11" s="72" t="s">
        <v>103</v>
      </c>
      <c r="B11" s="158">
        <f>Allotments!C33</f>
        <v>0</v>
      </c>
      <c r="C11" s="149"/>
      <c r="D11" s="150"/>
      <c r="E11" s="178">
        <f>Allotments!E19</f>
        <v>7</v>
      </c>
      <c r="F11" s="64">
        <f>ROUND(Allotments!$C$35,0)</f>
        <v>0</v>
      </c>
      <c r="J11" s="6"/>
      <c r="K11" s="95"/>
      <c r="L11" s="95"/>
      <c r="M11" s="95"/>
      <c r="N11" s="95"/>
      <c r="O11" s="95"/>
      <c r="P11" s="95"/>
      <c r="Q11" s="95"/>
      <c r="R11" s="95"/>
      <c r="T11" s="95"/>
      <c r="U11" s="95"/>
      <c r="V11" s="95"/>
      <c r="W11" s="95"/>
    </row>
    <row r="12" spans="1:23" ht="14.25" customHeight="1" x14ac:dyDescent="0.25">
      <c r="A12" s="19" t="s">
        <v>104</v>
      </c>
      <c r="B12" s="340" t="s">
        <v>105</v>
      </c>
      <c r="C12" s="55"/>
      <c r="D12" s="56"/>
      <c r="E12" s="56"/>
      <c r="F12" s="39"/>
      <c r="J12" s="6"/>
      <c r="K12" s="95"/>
      <c r="L12" s="95"/>
      <c r="M12" s="95"/>
      <c r="N12" s="95"/>
      <c r="O12" s="95"/>
      <c r="P12" s="95"/>
      <c r="Q12" s="95"/>
      <c r="R12" s="95"/>
      <c r="T12" s="95"/>
      <c r="U12" s="95"/>
      <c r="V12" s="95"/>
      <c r="W12" s="95"/>
    </row>
    <row r="13" spans="1:23" ht="14.25" customHeight="1" x14ac:dyDescent="0.25">
      <c r="A13" s="73" t="s">
        <v>106</v>
      </c>
      <c r="B13" s="341">
        <v>0</v>
      </c>
      <c r="C13" s="143"/>
      <c r="D13" s="63"/>
      <c r="E13" s="337"/>
      <c r="F13" s="38">
        <f>IF(B12="yes",B13,0)</f>
        <v>0</v>
      </c>
      <c r="G13" s="512" t="str">
        <f>IF((B13+B36)&gt;F3,"Amount allocated for benefits exceeds total amount reserved for benefits"," ")</f>
        <v xml:space="preserve"> </v>
      </c>
      <c r="H13" s="512"/>
      <c r="I13" s="512"/>
      <c r="J13" s="512"/>
      <c r="K13" s="512"/>
      <c r="L13" s="95"/>
      <c r="M13" s="95"/>
      <c r="N13" s="95"/>
      <c r="O13" s="95"/>
      <c r="P13" s="95"/>
      <c r="Q13" s="95"/>
      <c r="R13" s="95"/>
      <c r="T13" s="95"/>
      <c r="U13" s="95"/>
      <c r="V13" s="95"/>
      <c r="W13" s="95"/>
    </row>
    <row r="14" spans="1:23" ht="14.25" customHeight="1" x14ac:dyDescent="0.25">
      <c r="A14" s="19" t="s">
        <v>107</v>
      </c>
      <c r="B14" s="55"/>
      <c r="C14" s="55"/>
      <c r="D14" s="56"/>
      <c r="E14" s="56"/>
      <c r="F14" s="38">
        <f>F11-F13</f>
        <v>0</v>
      </c>
      <c r="J14" s="6"/>
      <c r="K14" s="95"/>
      <c r="L14" s="95"/>
      <c r="M14" s="95"/>
      <c r="N14" s="95"/>
      <c r="O14" s="95"/>
      <c r="P14" s="95"/>
      <c r="Q14" s="95"/>
      <c r="R14" s="95"/>
      <c r="T14" s="95"/>
      <c r="U14" s="95"/>
      <c r="V14" s="95"/>
      <c r="W14" s="95"/>
    </row>
    <row r="15" spans="1:23" ht="14.25" customHeight="1" x14ac:dyDescent="0.25">
      <c r="A15" s="19" t="s">
        <v>108</v>
      </c>
      <c r="B15" s="55"/>
      <c r="C15" s="55"/>
      <c r="D15" s="56"/>
      <c r="E15" s="56"/>
      <c r="F15" s="39"/>
      <c r="J15" s="6"/>
      <c r="K15" s="95"/>
      <c r="L15" s="95"/>
      <c r="M15" s="95"/>
      <c r="N15" s="95"/>
      <c r="O15" s="95"/>
      <c r="P15" s="95"/>
      <c r="Q15" s="95"/>
      <c r="R15" s="95"/>
      <c r="T15" s="95"/>
      <c r="U15" s="95"/>
      <c r="V15" s="95"/>
      <c r="W15" s="95"/>
    </row>
    <row r="16" spans="1:23" ht="14.25" customHeight="1" x14ac:dyDescent="0.25">
      <c r="A16" s="145"/>
      <c r="B16" s="146"/>
      <c r="C16" s="146"/>
      <c r="D16" s="147"/>
      <c r="E16" s="147"/>
      <c r="F16" s="148"/>
      <c r="L16" s="25"/>
      <c r="M16" s="25"/>
      <c r="N16" s="22"/>
      <c r="O16" s="5"/>
      <c r="P16" s="5"/>
      <c r="Q16" s="5"/>
      <c r="R16" s="5"/>
      <c r="T16" s="5"/>
      <c r="U16" s="5"/>
      <c r="V16" s="5"/>
      <c r="W16" s="5"/>
    </row>
    <row r="17" spans="1:23" ht="14.25" customHeight="1" x14ac:dyDescent="0.25">
      <c r="A17" s="65" t="s">
        <v>109</v>
      </c>
      <c r="B17" s="55"/>
      <c r="C17" s="55"/>
      <c r="D17" s="56"/>
      <c r="E17" s="56"/>
      <c r="F17" s="16"/>
      <c r="L17" s="25"/>
      <c r="M17" s="25"/>
      <c r="N17" s="22"/>
      <c r="O17" s="5"/>
      <c r="P17" s="5"/>
      <c r="Q17" s="5"/>
      <c r="R17" s="5"/>
      <c r="T17" s="5"/>
      <c r="U17" s="5"/>
      <c r="V17" s="5"/>
      <c r="W17" s="5"/>
    </row>
    <row r="18" spans="1:23" x14ac:dyDescent="0.25">
      <c r="A18" s="19" t="s">
        <v>110</v>
      </c>
      <c r="B18" s="151">
        <v>0</v>
      </c>
      <c r="C18" s="118">
        <v>0</v>
      </c>
      <c r="D18" s="66">
        <f>IF(B18=0,0,(B18*$F$14)/E18)</f>
        <v>0</v>
      </c>
      <c r="E18" s="67">
        <f>Allotments!B19</f>
        <v>3</v>
      </c>
      <c r="F18" s="68">
        <f>IF(C18&gt;0,C18*E18,D18*$E$18)</f>
        <v>0</v>
      </c>
      <c r="G18" s="535" t="str">
        <f>IF(AND(B18&gt;0,C18&gt;0),"You may use only one method for determining a stipend amount."," ")</f>
        <v xml:space="preserve"> </v>
      </c>
      <c r="H18" s="512"/>
      <c r="I18" s="512"/>
      <c r="J18" s="512"/>
      <c r="K18" s="512"/>
      <c r="L18" s="25"/>
      <c r="M18" s="25"/>
      <c r="N18" s="22"/>
      <c r="O18" s="5"/>
      <c r="P18" s="5"/>
      <c r="Q18" s="5"/>
      <c r="R18" s="5"/>
      <c r="T18" s="5"/>
      <c r="U18" s="5"/>
      <c r="V18" s="5"/>
      <c r="W18" s="5"/>
    </row>
    <row r="19" spans="1:23" x14ac:dyDescent="0.25">
      <c r="A19" s="19" t="s">
        <v>111</v>
      </c>
      <c r="B19" s="152">
        <v>0</v>
      </c>
      <c r="C19" s="119">
        <v>0</v>
      </c>
      <c r="D19" s="66">
        <f>IF(B19=0,0,(B19*$F$14)/E19)</f>
        <v>0</v>
      </c>
      <c r="E19" s="69">
        <f>Allotments!C19</f>
        <v>3</v>
      </c>
      <c r="F19" s="68">
        <f>IF(C19&gt;0,C19*E19,D19*E19)</f>
        <v>0</v>
      </c>
      <c r="G19" s="535" t="str">
        <f>IF(AND(B19&gt;0,C19&gt;0),"You may use only one method for determining a stipend amount."," ")</f>
        <v xml:space="preserve"> </v>
      </c>
      <c r="H19" s="512"/>
      <c r="I19" s="512"/>
      <c r="J19" s="512"/>
      <c r="K19" s="512"/>
      <c r="L19" s="25"/>
      <c r="M19" s="25"/>
      <c r="N19" s="22"/>
      <c r="O19" s="5"/>
      <c r="P19" s="5"/>
      <c r="Q19" s="5"/>
      <c r="R19" s="5"/>
      <c r="T19" s="5"/>
      <c r="U19" s="5"/>
      <c r="V19" s="5"/>
      <c r="W19" s="5"/>
    </row>
    <row r="20" spans="1:23" x14ac:dyDescent="0.25">
      <c r="A20" s="76" t="s">
        <v>112</v>
      </c>
      <c r="B20" s="153">
        <v>0</v>
      </c>
      <c r="C20" s="119">
        <v>0</v>
      </c>
      <c r="D20" s="66">
        <f t="shared" ref="D20" si="0">IF(B20=0,0,(B20*$F$14)/E20)</f>
        <v>0</v>
      </c>
      <c r="E20" s="69">
        <f>Allotments!D19</f>
        <v>1</v>
      </c>
      <c r="F20" s="68">
        <f>IF(C20&gt;0,C20*E20,D20*E20)</f>
        <v>0</v>
      </c>
      <c r="G20" s="535" t="str">
        <f>IF(AND(B20&gt;0,C20&gt;0),"You may use only one method for determining a stipend amount."," ")</f>
        <v xml:space="preserve"> </v>
      </c>
      <c r="H20" s="504"/>
      <c r="I20" s="504"/>
      <c r="J20" s="504"/>
      <c r="K20" s="512"/>
      <c r="L20" s="25"/>
      <c r="M20" s="25"/>
      <c r="N20" s="22"/>
      <c r="O20" s="5"/>
      <c r="P20" s="5"/>
      <c r="Q20" s="5"/>
      <c r="R20" s="5"/>
      <c r="T20" s="5"/>
      <c r="U20" s="5"/>
      <c r="V20" s="5"/>
      <c r="W20" s="5"/>
    </row>
    <row r="21" spans="1:23" x14ac:dyDescent="0.25">
      <c r="A21" s="73" t="s">
        <v>113</v>
      </c>
      <c r="B21" s="345">
        <f>SUM(B18:B20)</f>
        <v>0</v>
      </c>
      <c r="C21" s="344" t="str">
        <f>IF(B21&gt;1,"  Total percentage must not exeed 100%"," ")</f>
        <v xml:space="preserve"> </v>
      </c>
      <c r="D21" s="346"/>
      <c r="E21" s="347"/>
      <c r="F21" s="348">
        <f>SUM(F18:F20)</f>
        <v>0</v>
      </c>
      <c r="G21" s="535" t="str">
        <f>IF(F21&lt;&gt;F14,"This total does not equal the available allocated amount in Cell F14"," ")</f>
        <v xml:space="preserve"> </v>
      </c>
      <c r="H21" s="504"/>
      <c r="I21" s="504"/>
      <c r="J21" s="504"/>
      <c r="K21" s="504"/>
      <c r="L21" s="512"/>
      <c r="M21" s="25"/>
      <c r="N21" s="22"/>
      <c r="O21" s="5"/>
      <c r="P21" s="5"/>
      <c r="Q21" s="5"/>
      <c r="R21" s="5"/>
      <c r="T21" s="5"/>
      <c r="U21" s="5"/>
      <c r="V21" s="5"/>
      <c r="W21" s="5"/>
    </row>
    <row r="22" spans="1:23" x14ac:dyDescent="0.25">
      <c r="A22" s="44"/>
      <c r="B22" s="532" t="str">
        <f>IF(B21&lt;&gt;1,"Percentages must equal 100%"," ")</f>
        <v>Percentages must equal 100%</v>
      </c>
      <c r="C22" s="533"/>
      <c r="D22" s="346"/>
      <c r="E22" s="349"/>
      <c r="F22" s="350"/>
      <c r="G22" s="41"/>
      <c r="H22" s="41"/>
      <c r="I22" s="41"/>
      <c r="L22" s="25"/>
      <c r="M22" s="25"/>
      <c r="N22" s="22"/>
      <c r="O22" s="5"/>
      <c r="P22" s="5"/>
      <c r="Q22" s="5"/>
      <c r="R22" s="5"/>
      <c r="T22" s="5"/>
      <c r="U22" s="5"/>
      <c r="V22" s="5"/>
      <c r="W22" s="5"/>
    </row>
    <row r="23" spans="1:23" ht="18.75" customHeight="1" x14ac:dyDescent="0.25">
      <c r="A23" s="65" t="s">
        <v>114</v>
      </c>
      <c r="B23" s="513" t="s">
        <v>115</v>
      </c>
      <c r="C23" s="527" t="s">
        <v>116</v>
      </c>
      <c r="D23" s="528" t="s">
        <v>18</v>
      </c>
      <c r="E23" s="518" t="s">
        <v>117</v>
      </c>
      <c r="F23" s="474"/>
      <c r="G23" s="41"/>
      <c r="H23" s="41"/>
      <c r="I23" s="41"/>
      <c r="L23" s="25"/>
      <c r="M23" s="25"/>
      <c r="N23" s="22"/>
      <c r="O23" s="5"/>
      <c r="P23" s="5"/>
      <c r="Q23" s="5"/>
      <c r="R23" s="5"/>
      <c r="T23" s="5"/>
      <c r="U23" s="5"/>
      <c r="V23" s="5"/>
      <c r="W23" s="5"/>
    </row>
    <row r="24" spans="1:23" x14ac:dyDescent="0.25">
      <c r="A24" s="156" t="s">
        <v>118</v>
      </c>
      <c r="B24" s="514"/>
      <c r="C24" s="514"/>
      <c r="D24" s="517"/>
      <c r="E24" s="519" t="s">
        <v>119</v>
      </c>
      <c r="F24" s="520"/>
      <c r="G24" s="41"/>
      <c r="H24" s="41"/>
      <c r="I24" s="41"/>
      <c r="L24" s="25"/>
      <c r="M24" s="25"/>
      <c r="N24" s="22"/>
      <c r="O24" s="5"/>
      <c r="P24" s="5"/>
      <c r="Q24" s="5"/>
      <c r="R24" s="5"/>
      <c r="T24" s="5"/>
      <c r="U24" s="5"/>
      <c r="V24" s="5"/>
      <c r="W24" s="5"/>
    </row>
    <row r="25" spans="1:23" x14ac:dyDescent="0.25">
      <c r="A25" s="19" t="s">
        <v>120</v>
      </c>
      <c r="B25" s="155">
        <f>$D18*'Benefits Estimator'!$D$40</f>
        <v>0</v>
      </c>
      <c r="C25" s="155">
        <f>$D18*'Benefits Estimator'!$C$40</f>
        <v>0</v>
      </c>
      <c r="D25" s="155">
        <f>B25+C25</f>
        <v>0</v>
      </c>
      <c r="E25" s="154"/>
      <c r="F25" s="38">
        <f>E18*C25</f>
        <v>0</v>
      </c>
      <c r="G25" s="41"/>
      <c r="L25" s="25"/>
      <c r="M25" s="25"/>
      <c r="N25" s="22"/>
      <c r="O25" s="5"/>
      <c r="P25" s="5"/>
      <c r="Q25" s="5"/>
      <c r="R25" s="5"/>
      <c r="T25" s="5"/>
      <c r="U25" s="5"/>
      <c r="V25" s="5"/>
      <c r="W25" s="5"/>
    </row>
    <row r="26" spans="1:23" x14ac:dyDescent="0.25">
      <c r="A26" s="19" t="s">
        <v>121</v>
      </c>
      <c r="B26" s="155">
        <f>$D19*'Benefits Estimator'!$D$40</f>
        <v>0</v>
      </c>
      <c r="C26" s="155">
        <f>$D19*'Benefits Estimator'!$C$40</f>
        <v>0</v>
      </c>
      <c r="D26" s="155">
        <f t="shared" ref="D26:D27" si="1">B26+C26</f>
        <v>0</v>
      </c>
      <c r="E26" s="154"/>
      <c r="F26" s="38">
        <f>E19*C26</f>
        <v>0</v>
      </c>
      <c r="G26" s="41"/>
      <c r="L26" s="25"/>
      <c r="M26" s="25"/>
      <c r="N26" s="22"/>
      <c r="O26" s="5"/>
      <c r="P26" s="5"/>
      <c r="Q26" s="5"/>
      <c r="R26" s="5"/>
      <c r="T26" s="5"/>
      <c r="U26" s="5"/>
      <c r="V26" s="5"/>
      <c r="W26" s="5"/>
    </row>
    <row r="27" spans="1:23" x14ac:dyDescent="0.25">
      <c r="A27" s="62" t="s">
        <v>122</v>
      </c>
      <c r="B27" s="155">
        <f>$D20*'Benefits Estimator'!$D$40</f>
        <v>0</v>
      </c>
      <c r="C27" s="155">
        <f>$D20*'Benefits Estimator'!$C$40</f>
        <v>0</v>
      </c>
      <c r="D27" s="155">
        <f t="shared" si="1"/>
        <v>0</v>
      </c>
      <c r="E27" s="154"/>
      <c r="F27" s="38">
        <f>E20*C27</f>
        <v>0</v>
      </c>
      <c r="G27" s="41"/>
      <c r="I27" s="35"/>
      <c r="L27" s="25"/>
      <c r="M27" s="25"/>
      <c r="N27" s="22"/>
      <c r="O27" s="5"/>
      <c r="P27" s="5"/>
      <c r="Q27" s="5"/>
      <c r="R27" s="5"/>
      <c r="T27" s="5"/>
      <c r="U27" s="5"/>
      <c r="V27" s="5"/>
      <c r="W27" s="5"/>
    </row>
    <row r="28" spans="1:23" x14ac:dyDescent="0.25">
      <c r="A28" s="44"/>
      <c r="B28" s="165"/>
      <c r="C28" s="165"/>
      <c r="D28" s="166"/>
      <c r="E28" s="164" t="s">
        <v>123</v>
      </c>
      <c r="F28" s="38">
        <f>SUM(F25:F27)</f>
        <v>0</v>
      </c>
      <c r="G28" s="41"/>
      <c r="I28" s="35"/>
      <c r="L28" s="25"/>
      <c r="M28" s="25"/>
      <c r="N28" s="22"/>
      <c r="O28" s="5"/>
      <c r="P28" s="5"/>
      <c r="Q28" s="5"/>
      <c r="R28" s="5"/>
      <c r="T28" s="5"/>
      <c r="U28" s="5"/>
      <c r="V28" s="5"/>
      <c r="W28" s="5"/>
    </row>
    <row r="29" spans="1:23" ht="22.5" customHeight="1" x14ac:dyDescent="0.25">
      <c r="A29" s="175" t="s">
        <v>124</v>
      </c>
      <c r="B29" s="181"/>
      <c r="C29" s="181"/>
      <c r="D29" s="182"/>
      <c r="E29" s="176"/>
      <c r="F29" s="177">
        <f>ROUND(F21+F28,0)</f>
        <v>0</v>
      </c>
      <c r="G29" s="529" t="str">
        <f>IF(F29&gt;F11,"Note: The total cost of stipends and fringe benefits is greater than the amount allocated in Cell F29. Your LEA must either reduce the costs of stipends and benefits or supplement the cost from other funding sources."," ")</f>
        <v xml:space="preserve"> </v>
      </c>
      <c r="H29" s="457"/>
      <c r="I29" s="457"/>
      <c r="J29" s="457"/>
      <c r="K29" s="457"/>
      <c r="L29" s="457"/>
      <c r="M29" s="457"/>
      <c r="N29" s="457"/>
      <c r="O29" s="457"/>
      <c r="P29" s="5"/>
      <c r="Q29" s="5"/>
      <c r="R29" s="5"/>
      <c r="T29" s="5"/>
      <c r="U29" s="5"/>
      <c r="V29" s="5"/>
      <c r="W29" s="5"/>
    </row>
    <row r="30" spans="1:23" x14ac:dyDescent="0.25">
      <c r="A30" s="70"/>
      <c r="B30" s="87"/>
      <c r="C30" s="87"/>
      <c r="D30" s="88"/>
      <c r="E30" s="88"/>
      <c r="F30" s="90"/>
      <c r="G30" s="529"/>
      <c r="H30" s="457"/>
      <c r="I30" s="457"/>
      <c r="J30" s="457"/>
      <c r="K30" s="457"/>
      <c r="L30" s="457"/>
      <c r="M30" s="457"/>
      <c r="N30" s="457"/>
      <c r="O30" s="457"/>
      <c r="P30" s="5"/>
      <c r="Q30" s="5"/>
      <c r="R30" s="5"/>
    </row>
    <row r="31" spans="1:23" ht="251.25" customHeight="1" x14ac:dyDescent="0.25">
      <c r="A31" s="454" t="s">
        <v>125</v>
      </c>
      <c r="B31" s="455"/>
      <c r="C31" s="455"/>
      <c r="D31" s="455"/>
      <c r="E31" s="455"/>
      <c r="F31" s="456"/>
      <c r="L31" s="25"/>
      <c r="M31" s="25"/>
      <c r="N31" s="22"/>
      <c r="O31" s="5"/>
      <c r="P31" s="5"/>
      <c r="Q31" s="5"/>
      <c r="R31" s="5"/>
    </row>
    <row r="32" spans="1:23" x14ac:dyDescent="0.25">
      <c r="A32" s="288" t="s">
        <v>126</v>
      </c>
      <c r="B32" s="292"/>
      <c r="C32" s="293" t="s">
        <v>95</v>
      </c>
      <c r="D32" s="294" t="s">
        <v>96</v>
      </c>
      <c r="E32" s="295"/>
      <c r="F32" s="292"/>
      <c r="L32" s="25"/>
      <c r="M32" s="25"/>
      <c r="N32" s="22"/>
      <c r="O32" s="5"/>
      <c r="P32" s="5"/>
      <c r="Q32" s="5"/>
      <c r="R32" s="5"/>
      <c r="T32" s="5"/>
      <c r="U32" s="5"/>
      <c r="V32" s="5"/>
      <c r="W32" s="5"/>
    </row>
    <row r="33" spans="1:23" ht="29.25" customHeight="1" x14ac:dyDescent="0.25">
      <c r="A33" s="288"/>
      <c r="B33" s="296" t="s">
        <v>127</v>
      </c>
      <c r="C33" s="297" t="s">
        <v>99</v>
      </c>
      <c r="D33" s="297" t="s">
        <v>100</v>
      </c>
      <c r="E33" s="298"/>
      <c r="F33" s="299" t="s">
        <v>102</v>
      </c>
    </row>
    <row r="34" spans="1:23" ht="15" customHeight="1" x14ac:dyDescent="0.25">
      <c r="A34" s="85" t="s">
        <v>128</v>
      </c>
      <c r="B34" s="159">
        <f>Allotments!D33</f>
        <v>0</v>
      </c>
      <c r="C34" s="183"/>
      <c r="D34" s="183"/>
      <c r="E34" s="180"/>
      <c r="F34" s="157">
        <f>ROUND(Allotments!D35,0)</f>
        <v>0</v>
      </c>
    </row>
    <row r="35" spans="1:23" ht="15" customHeight="1" x14ac:dyDescent="0.25">
      <c r="A35" s="19" t="s">
        <v>104</v>
      </c>
      <c r="B35" s="340" t="s">
        <v>105</v>
      </c>
      <c r="C35" s="183"/>
      <c r="D35" s="183"/>
      <c r="E35" s="180"/>
      <c r="F35" s="160"/>
    </row>
    <row r="36" spans="1:23" ht="15" customHeight="1" x14ac:dyDescent="0.25">
      <c r="A36" s="19" t="s">
        <v>106</v>
      </c>
      <c r="B36" s="341">
        <v>0</v>
      </c>
      <c r="C36" s="183"/>
      <c r="D36" s="183"/>
      <c r="E36" s="180"/>
      <c r="F36" s="157">
        <f>IF(B35="Yes",B36,0)</f>
        <v>0</v>
      </c>
      <c r="G36" s="512" t="str">
        <f>IF((B13+B36)&gt;F3,"Amount allocated for benefits exceeds total amount reserved for benefits"," ")</f>
        <v xml:space="preserve"> </v>
      </c>
      <c r="H36" s="512"/>
      <c r="I36" s="512"/>
      <c r="J36" s="512"/>
      <c r="K36" s="512"/>
    </row>
    <row r="37" spans="1:23" ht="15" customHeight="1" x14ac:dyDescent="0.25">
      <c r="A37" s="19" t="s">
        <v>129</v>
      </c>
      <c r="B37" s="162"/>
      <c r="C37" s="183"/>
      <c r="D37" s="183"/>
      <c r="E37" s="180"/>
      <c r="F37" s="161">
        <f>F34-F36</f>
        <v>0</v>
      </c>
    </row>
    <row r="38" spans="1:23" ht="15" customHeight="1" x14ac:dyDescent="0.25">
      <c r="A38" s="70"/>
      <c r="B38" s="87"/>
      <c r="C38" s="87"/>
      <c r="D38" s="88"/>
      <c r="E38" s="88"/>
      <c r="F38" s="90"/>
    </row>
    <row r="39" spans="1:23" x14ac:dyDescent="0.25">
      <c r="A39" s="85" t="s">
        <v>130</v>
      </c>
      <c r="B39" s="342">
        <v>0</v>
      </c>
      <c r="C39" s="54"/>
      <c r="D39" s="86"/>
      <c r="E39" s="86"/>
      <c r="F39" s="71">
        <f>B39*$F$37</f>
        <v>0</v>
      </c>
      <c r="N39" s="96"/>
    </row>
    <row r="40" spans="1:23" x14ac:dyDescent="0.25">
      <c r="A40" s="85" t="s">
        <v>131</v>
      </c>
      <c r="B40" s="343">
        <v>0</v>
      </c>
      <c r="C40" s="505" t="str">
        <f>IF(B39+B40&gt;1,"  Total percentage must equal 100%"," ")</f>
        <v xml:space="preserve"> </v>
      </c>
      <c r="D40" s="506"/>
      <c r="E40" s="507"/>
      <c r="F40" s="71">
        <f>B40*$F$37</f>
        <v>0</v>
      </c>
      <c r="N40" s="96"/>
    </row>
    <row r="41" spans="1:23" x14ac:dyDescent="0.25">
      <c r="A41" s="44"/>
      <c r="B41" s="54" t="str">
        <f>IF(B39+B40&lt;&gt;1,"Percentages must total 100%"," ")</f>
        <v>Percentages must total 100%</v>
      </c>
      <c r="C41" s="54"/>
      <c r="D41" s="86"/>
      <c r="E41" s="86"/>
      <c r="F41" s="163"/>
      <c r="N41" s="459"/>
      <c r="O41" s="459"/>
      <c r="P41" s="459"/>
      <c r="W41" s="29"/>
    </row>
    <row r="42" spans="1:23" x14ac:dyDescent="0.25">
      <c r="A42" s="85" t="s">
        <v>132</v>
      </c>
      <c r="B42" s="120">
        <v>0</v>
      </c>
      <c r="C42" s="92"/>
      <c r="D42" s="57"/>
      <c r="E42" s="57"/>
      <c r="F42" s="39"/>
    </row>
    <row r="43" spans="1:23" x14ac:dyDescent="0.25">
      <c r="A43" s="19" t="s">
        <v>133</v>
      </c>
      <c r="B43" s="120">
        <v>0</v>
      </c>
      <c r="C43" s="143"/>
      <c r="D43" s="63"/>
      <c r="E43" s="63"/>
      <c r="F43" s="18"/>
    </row>
    <row r="44" spans="1:23" x14ac:dyDescent="0.25">
      <c r="A44" s="19" t="s">
        <v>134</v>
      </c>
      <c r="B44" s="89"/>
      <c r="C44" s="116"/>
      <c r="D44" s="64">
        <f>IFERROR(IF(C44&gt;0," ",F39/B42),0)</f>
        <v>0</v>
      </c>
      <c r="E44" s="91"/>
      <c r="F44" s="64">
        <f>IF(C44&gt;0,C44*B42,D44*B42)</f>
        <v>0</v>
      </c>
      <c r="G44" s="504"/>
      <c r="H44" s="512"/>
      <c r="I44" s="512"/>
    </row>
    <row r="45" spans="1:23" x14ac:dyDescent="0.25">
      <c r="A45" s="19" t="s">
        <v>135</v>
      </c>
      <c r="B45" s="89"/>
      <c r="C45" s="142"/>
      <c r="D45" s="64">
        <f>IFERROR(IF(C45&gt;0," ",F40/B43),0)</f>
        <v>0</v>
      </c>
      <c r="E45" s="91"/>
      <c r="F45" s="64">
        <f>IF(C45&gt;0,C45*B43,D45*B43)</f>
        <v>0</v>
      </c>
      <c r="G45" s="144"/>
    </row>
    <row r="46" spans="1:23" x14ac:dyDescent="0.25">
      <c r="A46" s="19" t="s">
        <v>136</v>
      </c>
      <c r="B46" s="306"/>
      <c r="C46" s="306"/>
      <c r="D46" s="15"/>
      <c r="E46" s="21"/>
      <c r="F46" s="16">
        <f>SUM(F44:F45)</f>
        <v>0</v>
      </c>
      <c r="G46" s="504" t="str">
        <f>IF(F46&gt;F37,"This total exceeds the available allocated amount in Cell F36"," ")</f>
        <v xml:space="preserve"> </v>
      </c>
      <c r="H46" s="504"/>
      <c r="I46" s="504"/>
      <c r="J46" s="504"/>
    </row>
    <row r="47" spans="1:23" ht="15" customHeight="1" x14ac:dyDescent="0.25">
      <c r="A47" s="219" t="s">
        <v>137</v>
      </c>
      <c r="B47" s="513" t="s">
        <v>115</v>
      </c>
      <c r="C47" s="515" t="s">
        <v>116</v>
      </c>
      <c r="D47" s="516" t="s">
        <v>18</v>
      </c>
      <c r="E47" s="518" t="s">
        <v>117</v>
      </c>
      <c r="F47" s="474"/>
      <c r="G47" s="144"/>
    </row>
    <row r="48" spans="1:23" ht="15" customHeight="1" x14ac:dyDescent="0.25">
      <c r="A48" s="156" t="s">
        <v>118</v>
      </c>
      <c r="B48" s="514"/>
      <c r="C48" s="514"/>
      <c r="D48" s="517"/>
      <c r="E48" s="519" t="s">
        <v>119</v>
      </c>
      <c r="F48" s="520"/>
      <c r="G48" s="144"/>
    </row>
    <row r="49" spans="1:15" x14ac:dyDescent="0.25">
      <c r="A49" s="19" t="s">
        <v>138</v>
      </c>
      <c r="B49" s="89">
        <f>IF($C44&gt;0,$C44*'Benefits Estimator'!$D$40,$D44*'Benefits Estimator'!$D$40)</f>
        <v>0</v>
      </c>
      <c r="C49" s="89">
        <f>IF($C44&gt;0,$C44*'Benefits Estimator'!$C$40,$D44*'Benefits Estimator'!$C$40)</f>
        <v>0</v>
      </c>
      <c r="D49" s="38">
        <f>B49+C49</f>
        <v>0</v>
      </c>
      <c r="E49" s="72"/>
      <c r="F49" s="18">
        <f>C49*B42</f>
        <v>0</v>
      </c>
      <c r="G49" s="144"/>
    </row>
    <row r="50" spans="1:15" x14ac:dyDescent="0.25">
      <c r="A50" s="73" t="s">
        <v>139</v>
      </c>
      <c r="B50" s="89">
        <f>IF($C45&gt;0,$C45*'Benefits Estimator'!$D$40,$D45*'Benefits Estimator'!$D$40)</f>
        <v>0</v>
      </c>
      <c r="C50" s="89">
        <f>IF($C45&gt;0,$C45*'Benefits Estimator'!$C$40,$D45*'Benefits Estimator'!$C$40)</f>
        <v>0</v>
      </c>
      <c r="D50" s="38">
        <f>B50+C50</f>
        <v>0</v>
      </c>
      <c r="E50" s="76"/>
      <c r="F50" s="18">
        <f>C50*B43</f>
        <v>0</v>
      </c>
      <c r="G50" s="144"/>
    </row>
    <row r="51" spans="1:15" x14ac:dyDescent="0.25">
      <c r="A51" s="44"/>
      <c r="B51" s="167"/>
      <c r="C51" s="45"/>
      <c r="D51" s="46"/>
      <c r="E51" s="164" t="s">
        <v>123</v>
      </c>
      <c r="F51" s="38">
        <f>SUM(F49:F50)</f>
        <v>0</v>
      </c>
    </row>
    <row r="52" spans="1:15" ht="22.5" customHeight="1" x14ac:dyDescent="0.25">
      <c r="A52" s="171" t="s">
        <v>140</v>
      </c>
      <c r="B52" s="172"/>
      <c r="C52" s="172"/>
      <c r="D52" s="351"/>
      <c r="E52" s="173"/>
      <c r="F52" s="174">
        <f>ROUND(F46+F51,0)</f>
        <v>0</v>
      </c>
      <c r="G52" s="529" t="str">
        <f>IF(F52&gt;F34,"Note: The total cost of stipends and fringe benefits is greater than the amount allocated in Cell F34. Your LEA must either reduce the costs of stipends and benefits or supplement the cost from other funding sources."," ")</f>
        <v xml:space="preserve"> </v>
      </c>
      <c r="H52" s="457"/>
      <c r="I52" s="457"/>
      <c r="J52" s="457"/>
      <c r="K52" s="457"/>
      <c r="L52" s="457"/>
      <c r="M52" s="457"/>
      <c r="N52" s="457"/>
      <c r="O52" s="457"/>
    </row>
    <row r="53" spans="1:15" ht="15" customHeight="1" x14ac:dyDescent="0.25">
      <c r="A53" s="70"/>
      <c r="B53" s="168"/>
      <c r="C53" s="168"/>
      <c r="D53" s="169"/>
      <c r="E53" s="169"/>
      <c r="F53" s="170"/>
      <c r="G53" s="529"/>
      <c r="H53" s="457"/>
      <c r="I53" s="457"/>
      <c r="J53" s="457"/>
      <c r="K53" s="457"/>
      <c r="L53" s="457"/>
      <c r="M53" s="457"/>
      <c r="N53" s="457"/>
      <c r="O53" s="457"/>
    </row>
    <row r="54" spans="1:15" ht="62.25" customHeight="1" x14ac:dyDescent="0.25">
      <c r="A54" s="454" t="s">
        <v>141</v>
      </c>
      <c r="B54" s="455"/>
      <c r="C54" s="455"/>
      <c r="D54" s="455"/>
      <c r="E54" s="455"/>
      <c r="F54" s="456"/>
      <c r="G54" s="23"/>
    </row>
    <row r="55" spans="1:15" ht="15" customHeight="1" x14ac:dyDescent="0.25">
      <c r="A55" s="288" t="s">
        <v>142</v>
      </c>
      <c r="B55" s="352"/>
      <c r="C55" s="352"/>
      <c r="D55" s="353"/>
      <c r="E55" s="353"/>
      <c r="F55" s="293" t="s">
        <v>143</v>
      </c>
      <c r="G55" s="23"/>
    </row>
    <row r="56" spans="1:15" ht="15" customHeight="1" x14ac:dyDescent="0.25">
      <c r="A56" s="65"/>
      <c r="B56" s="354"/>
      <c r="C56" s="354"/>
      <c r="D56" s="355" t="s">
        <v>144</v>
      </c>
      <c r="E56" s="356"/>
      <c r="F56" s="357"/>
      <c r="G56" s="23"/>
    </row>
    <row r="57" spans="1:15" ht="15" customHeight="1" x14ac:dyDescent="0.25">
      <c r="A57" s="65" t="s">
        <v>145</v>
      </c>
      <c r="B57" s="15"/>
      <c r="C57" s="15"/>
      <c r="D57" s="358" t="s">
        <v>146</v>
      </c>
      <c r="E57" s="16"/>
      <c r="F57" s="77"/>
      <c r="G57" s="23"/>
    </row>
    <row r="58" spans="1:15" ht="15" customHeight="1" x14ac:dyDescent="0.25">
      <c r="A58" s="19" t="s">
        <v>147</v>
      </c>
      <c r="B58" s="15"/>
      <c r="C58" s="15"/>
      <c r="D58" s="359">
        <f>Allotments!E50</f>
        <v>0</v>
      </c>
      <c r="E58" s="16"/>
      <c r="F58" s="77"/>
      <c r="G58" s="23"/>
    </row>
    <row r="59" spans="1:15" ht="15" customHeight="1" x14ac:dyDescent="0.25">
      <c r="A59" s="19" t="s">
        <v>148</v>
      </c>
      <c r="B59" s="15"/>
      <c r="C59" s="15"/>
      <c r="D59" s="359">
        <f>F13+F36</f>
        <v>0</v>
      </c>
      <c r="E59" s="16"/>
      <c r="F59" s="77"/>
      <c r="G59" s="23"/>
    </row>
    <row r="60" spans="1:15" ht="15" customHeight="1" x14ac:dyDescent="0.25">
      <c r="A60" s="19" t="s">
        <v>149</v>
      </c>
      <c r="B60" s="15"/>
      <c r="C60" s="15"/>
      <c r="D60" s="359">
        <f>(F28+F51)-D58-D59</f>
        <v>0</v>
      </c>
      <c r="E60" s="16"/>
      <c r="F60" s="64"/>
      <c r="G60" s="23"/>
    </row>
    <row r="61" spans="1:15" ht="22.5" customHeight="1" x14ac:dyDescent="0.25">
      <c r="A61" s="360" t="s">
        <v>150</v>
      </c>
      <c r="B61" s="361"/>
      <c r="C61" s="361"/>
      <c r="D61" s="362">
        <f>SUM(D58:D60)</f>
        <v>0</v>
      </c>
      <c r="E61" s="363"/>
      <c r="F61" s="364">
        <f>F28+F51</f>
        <v>0</v>
      </c>
      <c r="G61" s="23"/>
    </row>
    <row r="62" spans="1:15" ht="13.5" customHeight="1" x14ac:dyDescent="0.25">
      <c r="A62" s="70"/>
      <c r="B62" s="365"/>
      <c r="C62" s="365"/>
      <c r="D62" s="366"/>
      <c r="E62" s="366"/>
      <c r="F62" s="170"/>
      <c r="G62" s="23"/>
    </row>
    <row r="63" spans="1:15" ht="22.5" customHeight="1" x14ac:dyDescent="0.25">
      <c r="A63" s="367" t="s">
        <v>151</v>
      </c>
      <c r="B63" s="368"/>
      <c r="C63" s="368"/>
      <c r="D63" s="368"/>
      <c r="E63" s="369"/>
      <c r="F63" s="370"/>
      <c r="G63" s="23"/>
    </row>
    <row r="64" spans="1:15" x14ac:dyDescent="0.25">
      <c r="A64" s="65" t="s">
        <v>152</v>
      </c>
      <c r="B64" s="180"/>
      <c r="C64" s="180"/>
      <c r="D64" s="180"/>
      <c r="E64" s="180"/>
      <c r="F64" s="371">
        <f>F21+F46</f>
        <v>0</v>
      </c>
      <c r="K64" s="98"/>
    </row>
    <row r="65" spans="1:10" x14ac:dyDescent="0.25">
      <c r="A65" s="65" t="s">
        <v>153</v>
      </c>
      <c r="B65" s="180"/>
      <c r="C65" s="180"/>
      <c r="D65" s="180"/>
      <c r="E65" s="180"/>
      <c r="F65" s="371">
        <f>F28+F51</f>
        <v>0</v>
      </c>
    </row>
    <row r="66" spans="1:10" ht="16.5" customHeight="1" x14ac:dyDescent="0.25">
      <c r="A66" s="65" t="s">
        <v>154</v>
      </c>
      <c r="B66" s="180"/>
      <c r="C66" s="180"/>
      <c r="D66" s="180"/>
      <c r="E66" s="372"/>
      <c r="F66" s="371">
        <f>F64+F65</f>
        <v>0</v>
      </c>
      <c r="G66" s="458"/>
      <c r="H66" s="458"/>
      <c r="I66" s="458"/>
      <c r="J66" s="512"/>
    </row>
    <row r="67" spans="1:10" ht="16.5" customHeight="1" x14ac:dyDescent="0.25">
      <c r="A67" s="65"/>
      <c r="B67" s="180"/>
      <c r="C67" s="180"/>
      <c r="D67" s="180"/>
      <c r="E67" s="180"/>
      <c r="F67" s="373"/>
      <c r="G67" s="23"/>
      <c r="H67" s="23"/>
      <c r="I67" s="23"/>
    </row>
    <row r="68" spans="1:10" ht="16.5" customHeight="1" x14ac:dyDescent="0.25">
      <c r="A68" s="65" t="s">
        <v>155</v>
      </c>
      <c r="B68" s="180"/>
      <c r="C68" s="180"/>
      <c r="D68" s="180"/>
      <c r="E68" s="180"/>
      <c r="F68" s="371">
        <f>Allotments!E50</f>
        <v>0</v>
      </c>
      <c r="G68" s="23"/>
      <c r="H68" s="23"/>
      <c r="I68" s="23"/>
    </row>
    <row r="69" spans="1:10" ht="16.5" customHeight="1" x14ac:dyDescent="0.25">
      <c r="A69" s="65" t="s">
        <v>156</v>
      </c>
      <c r="B69" s="180"/>
      <c r="C69" s="180"/>
      <c r="D69" s="180"/>
      <c r="E69" s="180"/>
      <c r="F69" s="371">
        <f>F66-F68-F70</f>
        <v>0</v>
      </c>
      <c r="G69" s="23"/>
      <c r="H69" s="23"/>
      <c r="I69" s="23"/>
    </row>
    <row r="70" spans="1:10" ht="16.5" customHeight="1" x14ac:dyDescent="0.25">
      <c r="A70" s="65" t="s">
        <v>157</v>
      </c>
      <c r="B70" s="180"/>
      <c r="C70" s="180"/>
      <c r="D70" s="180"/>
      <c r="E70" s="180"/>
      <c r="F70" s="371">
        <f>D60</f>
        <v>0</v>
      </c>
      <c r="G70" s="23"/>
      <c r="H70" s="23"/>
      <c r="I70" s="23"/>
    </row>
    <row r="71" spans="1:10" ht="16.5" customHeight="1" x14ac:dyDescent="0.25">
      <c r="A71" s="70"/>
      <c r="B71" s="365"/>
      <c r="C71" s="365"/>
      <c r="D71" s="366"/>
      <c r="E71" s="366"/>
      <c r="F71" s="170"/>
      <c r="G71" s="23"/>
      <c r="H71" s="23"/>
      <c r="I71" s="23"/>
    </row>
    <row r="72" spans="1:10" ht="16.5" customHeight="1" x14ac:dyDescent="0.25">
      <c r="A72" s="288" t="s">
        <v>158</v>
      </c>
      <c r="B72" s="374"/>
      <c r="C72" s="374"/>
      <c r="D72" s="374"/>
      <c r="E72" s="374"/>
      <c r="F72" s="375"/>
      <c r="G72" s="23"/>
      <c r="H72" s="23"/>
      <c r="I72" s="23"/>
    </row>
    <row r="73" spans="1:10" ht="46.5" customHeight="1" x14ac:dyDescent="0.25">
      <c r="A73" s="288"/>
      <c r="B73" s="374"/>
      <c r="C73" s="376"/>
      <c r="D73" s="297" t="s">
        <v>159</v>
      </c>
      <c r="E73" s="297" t="s">
        <v>160</v>
      </c>
      <c r="F73" s="296" t="s">
        <v>161</v>
      </c>
      <c r="G73" s="23"/>
      <c r="H73" s="23"/>
      <c r="I73" s="23"/>
    </row>
    <row r="74" spans="1:10" ht="16.5" customHeight="1" x14ac:dyDescent="0.25">
      <c r="A74" s="19" t="s">
        <v>162</v>
      </c>
      <c r="B74" s="180"/>
      <c r="C74" s="180"/>
      <c r="D74" s="180"/>
      <c r="E74" s="180"/>
      <c r="F74" s="377"/>
      <c r="G74" s="23"/>
      <c r="H74" s="23"/>
      <c r="I74" s="23"/>
    </row>
    <row r="75" spans="1:10" ht="16.5" customHeight="1" x14ac:dyDescent="0.25">
      <c r="A75" s="19" t="s">
        <v>163</v>
      </c>
      <c r="B75" s="180"/>
      <c r="C75" s="180"/>
      <c r="D75" s="15">
        <f>F18</f>
        <v>0</v>
      </c>
      <c r="E75" s="15">
        <f>F25</f>
        <v>0</v>
      </c>
      <c r="F75" s="16">
        <f>D75+E75</f>
        <v>0</v>
      </c>
      <c r="G75" s="23"/>
      <c r="H75" s="23"/>
      <c r="I75" s="23"/>
    </row>
    <row r="76" spans="1:10" ht="16.5" customHeight="1" x14ac:dyDescent="0.25">
      <c r="A76" s="19" t="s">
        <v>164</v>
      </c>
      <c r="B76" s="180"/>
      <c r="C76" s="180"/>
      <c r="D76" s="15">
        <f>F19</f>
        <v>0</v>
      </c>
      <c r="E76" s="15">
        <f>F26</f>
        <v>0</v>
      </c>
      <c r="F76" s="16">
        <f t="shared" ref="F76:F78" si="2">D76+E76</f>
        <v>0</v>
      </c>
      <c r="G76" s="23"/>
      <c r="H76" s="23"/>
      <c r="I76" s="23"/>
    </row>
    <row r="77" spans="1:10" ht="16.5" customHeight="1" x14ac:dyDescent="0.25">
      <c r="A77" s="19" t="s">
        <v>165</v>
      </c>
      <c r="B77" s="180"/>
      <c r="C77" s="180"/>
      <c r="D77" s="15">
        <f>F20</f>
        <v>0</v>
      </c>
      <c r="E77" s="15">
        <f>F27</f>
        <v>0</v>
      </c>
      <c r="F77" s="16">
        <f t="shared" si="2"/>
        <v>0</v>
      </c>
      <c r="G77" s="23"/>
      <c r="H77" s="23"/>
      <c r="I77" s="23"/>
    </row>
    <row r="78" spans="1:10" ht="16.5" customHeight="1" x14ac:dyDescent="0.25">
      <c r="A78" s="19" t="s">
        <v>166</v>
      </c>
      <c r="B78" s="180"/>
      <c r="C78" s="180"/>
      <c r="D78" s="15">
        <f>F44</f>
        <v>0</v>
      </c>
      <c r="E78" s="15">
        <f>F49</f>
        <v>0</v>
      </c>
      <c r="F78" s="16">
        <f t="shared" si="2"/>
        <v>0</v>
      </c>
      <c r="G78" s="23"/>
      <c r="H78" s="23"/>
      <c r="I78" s="23"/>
    </row>
    <row r="79" spans="1:10" ht="16.5" customHeight="1" x14ac:dyDescent="0.25">
      <c r="A79" s="19" t="s">
        <v>167</v>
      </c>
      <c r="B79" s="180"/>
      <c r="C79" s="180"/>
      <c r="D79" s="15">
        <f>F45</f>
        <v>0</v>
      </c>
      <c r="E79" s="15">
        <f>F50</f>
        <v>0</v>
      </c>
      <c r="F79" s="16">
        <f t="shared" ref="F79" si="3">D79+E79</f>
        <v>0</v>
      </c>
      <c r="G79" s="23"/>
      <c r="H79" s="23"/>
      <c r="I79" s="23"/>
    </row>
    <row r="80" spans="1:10" ht="16.5" customHeight="1" x14ac:dyDescent="0.25">
      <c r="A80" s="65" t="s">
        <v>168</v>
      </c>
      <c r="B80" s="180"/>
      <c r="C80" s="180"/>
      <c r="D80" s="378">
        <f>SUM(D75:D79)</f>
        <v>0</v>
      </c>
      <c r="E80" s="378">
        <f t="shared" ref="E80:F80" si="4">SUM(E75:E79)</f>
        <v>0</v>
      </c>
      <c r="F80" s="377">
        <f t="shared" si="4"/>
        <v>0</v>
      </c>
      <c r="G80" s="23"/>
      <c r="H80" s="23"/>
      <c r="I80" s="23"/>
    </row>
    <row r="81" spans="1:25" ht="16.5" customHeight="1" x14ac:dyDescent="0.25">
      <c r="A81" s="379"/>
      <c r="B81" s="93"/>
      <c r="C81" s="93"/>
      <c r="D81" s="93"/>
      <c r="E81" s="93"/>
      <c r="F81" s="380"/>
      <c r="G81" s="23"/>
      <c r="H81" s="23"/>
      <c r="I81" s="23"/>
    </row>
    <row r="84" spans="1:25" x14ac:dyDescent="0.25">
      <c r="A84" s="48" t="s">
        <v>169</v>
      </c>
      <c r="B84" s="97"/>
      <c r="C84" s="97"/>
      <c r="D84" s="49"/>
      <c r="E84" s="49"/>
      <c r="F84" s="49"/>
      <c r="G84" s="49"/>
      <c r="H84" s="49"/>
      <c r="I84" s="49"/>
      <c r="J84" s="49"/>
      <c r="K84" s="49"/>
      <c r="L84" s="49"/>
      <c r="M84" s="49"/>
      <c r="N84" s="49"/>
      <c r="O84" s="49"/>
      <c r="P84" s="49"/>
      <c r="Q84" s="49"/>
      <c r="R84" s="49"/>
      <c r="S84" s="49"/>
      <c r="T84" s="49"/>
      <c r="U84" s="49"/>
      <c r="V84" s="49"/>
      <c r="W84" s="49"/>
      <c r="X84" s="50"/>
    </row>
    <row r="85" spans="1:25" ht="99" customHeight="1" x14ac:dyDescent="0.25">
      <c r="A85" s="499" t="s">
        <v>170</v>
      </c>
      <c r="B85" s="500"/>
      <c r="C85" s="500"/>
      <c r="D85" s="500"/>
      <c r="E85" s="500"/>
      <c r="F85" s="500"/>
      <c r="L85" s="7"/>
      <c r="M85" s="7"/>
      <c r="N85" s="179"/>
      <c r="O85" s="179"/>
      <c r="P85" s="179"/>
      <c r="Q85" s="179"/>
      <c r="R85" s="179"/>
      <c r="S85" s="179"/>
      <c r="T85" s="179"/>
      <c r="U85" s="179"/>
      <c r="V85" s="179"/>
      <c r="W85" s="179"/>
      <c r="X85" s="203"/>
    </row>
    <row r="86" spans="1:25" ht="89.25" customHeight="1" x14ac:dyDescent="0.25">
      <c r="A86" s="270"/>
      <c r="B86" s="509" t="s">
        <v>171</v>
      </c>
      <c r="C86" s="510"/>
      <c r="D86" s="510"/>
      <c r="E86" s="510"/>
      <c r="F86" s="510"/>
      <c r="G86" s="510"/>
      <c r="H86" s="510"/>
      <c r="I86" s="511"/>
      <c r="J86" s="271"/>
      <c r="K86" s="266"/>
      <c r="L86" s="266"/>
      <c r="M86" s="480"/>
      <c r="N86" s="480"/>
      <c r="O86" s="480"/>
      <c r="P86" s="480"/>
      <c r="Q86" s="266"/>
      <c r="R86" s="266"/>
      <c r="S86" s="266"/>
      <c r="T86" s="266"/>
      <c r="U86" s="266"/>
      <c r="V86" s="266"/>
      <c r="W86" s="266"/>
      <c r="X86" s="290"/>
    </row>
    <row r="87" spans="1:25" ht="16.5" customHeight="1" x14ac:dyDescent="0.25">
      <c r="A87" s="280"/>
      <c r="B87" s="496" t="s">
        <v>172</v>
      </c>
      <c r="C87" s="497"/>
      <c r="D87" s="497"/>
      <c r="E87" s="498"/>
      <c r="F87" s="496" t="s">
        <v>173</v>
      </c>
      <c r="G87" s="521"/>
      <c r="H87" s="522"/>
      <c r="I87" s="496" t="s">
        <v>174</v>
      </c>
      <c r="J87" s="523"/>
      <c r="K87" s="524"/>
      <c r="L87" s="496" t="s">
        <v>175</v>
      </c>
      <c r="M87" s="523"/>
      <c r="N87" s="524"/>
      <c r="O87" s="525" t="s">
        <v>176</v>
      </c>
      <c r="P87" s="526"/>
      <c r="Q87" s="526"/>
      <c r="R87" s="523" t="s">
        <v>177</v>
      </c>
      <c r="S87" s="523"/>
      <c r="T87" s="524"/>
      <c r="U87" s="301"/>
      <c r="V87" s="496" t="s">
        <v>178</v>
      </c>
      <c r="W87" s="521"/>
      <c r="X87" s="522"/>
      <c r="Y87" s="94"/>
    </row>
    <row r="88" spans="1:25" ht="62.25" customHeight="1" x14ac:dyDescent="0.25">
      <c r="A88" s="317" t="s">
        <v>179</v>
      </c>
      <c r="B88" s="302" t="s">
        <v>180</v>
      </c>
      <c r="C88" s="276" t="s">
        <v>181</v>
      </c>
      <c r="D88" s="276" t="s">
        <v>182</v>
      </c>
      <c r="E88" s="276" t="s">
        <v>183</v>
      </c>
      <c r="F88" s="302" t="s">
        <v>184</v>
      </c>
      <c r="G88" s="276" t="s">
        <v>185</v>
      </c>
      <c r="H88" s="291" t="s">
        <v>186</v>
      </c>
      <c r="I88" s="302" t="s">
        <v>184</v>
      </c>
      <c r="J88" s="276" t="s">
        <v>185</v>
      </c>
      <c r="K88" s="291" t="s">
        <v>186</v>
      </c>
      <c r="L88" s="300" t="s">
        <v>184</v>
      </c>
      <c r="M88" s="272" t="s">
        <v>185</v>
      </c>
      <c r="N88" s="303" t="s">
        <v>186</v>
      </c>
      <c r="O88" s="300" t="s">
        <v>184</v>
      </c>
      <c r="P88" s="272" t="s">
        <v>185</v>
      </c>
      <c r="Q88" s="303" t="s">
        <v>186</v>
      </c>
      <c r="R88" s="300" t="s">
        <v>184</v>
      </c>
      <c r="S88" s="272" t="s">
        <v>185</v>
      </c>
      <c r="T88" s="303" t="s">
        <v>186</v>
      </c>
      <c r="U88" s="287"/>
      <c r="V88" s="300" t="s">
        <v>184</v>
      </c>
      <c r="W88" s="272" t="s">
        <v>185</v>
      </c>
      <c r="X88" s="303" t="s">
        <v>186</v>
      </c>
      <c r="Y88" s="95"/>
    </row>
    <row r="89" spans="1:25" x14ac:dyDescent="0.25">
      <c r="A89" s="502" t="s">
        <v>187</v>
      </c>
      <c r="B89" s="121">
        <v>0</v>
      </c>
      <c r="C89" s="184" t="str">
        <f>IF($B$89&gt;=1,"Payment 1"," ")</f>
        <v xml:space="preserve"> </v>
      </c>
      <c r="D89" s="122"/>
      <c r="E89" s="204">
        <v>0</v>
      </c>
      <c r="F89" s="187" t="str">
        <f>IF($E89&gt;0,($E89*IF($C$18&gt;0,$C$18,$D$18))*$E$18," ")</f>
        <v xml:space="preserve"> </v>
      </c>
      <c r="G89" s="188" t="str">
        <f>IF($E89&gt;0,($E89*IF($C$25&gt;0,$C$25))*$E$18," ")</f>
        <v xml:space="preserve"> </v>
      </c>
      <c r="H89" s="189" t="str">
        <f t="shared" ref="H89:H92" si="5">IF(F89&lt;&gt;" ",F89+G89," ")</f>
        <v xml:space="preserve"> </v>
      </c>
      <c r="I89" s="187" t="str">
        <f>IF($E89&gt;0,($E89*IF($C$19&gt;0,$C$19,$D$19))*$E$19," ")</f>
        <v xml:space="preserve"> </v>
      </c>
      <c r="J89" s="188" t="str">
        <f>IF($E89&gt;0,($E89*IF($C$26&gt;0,$C$26))*$E$19," ")</f>
        <v xml:space="preserve"> </v>
      </c>
      <c r="K89" s="189" t="str">
        <f t="shared" ref="K89" si="6">IF(I89&lt;&gt;" ",I89+J89," ")</f>
        <v xml:space="preserve"> </v>
      </c>
      <c r="L89" s="187" t="str">
        <f>IF($E89&gt;0,($E89*IF($C$20&gt;0,$C$20,$D$20))*$E$20," ")</f>
        <v xml:space="preserve"> </v>
      </c>
      <c r="M89" s="188" t="str">
        <f>IF($E89&gt;0,($E89*IF($C$27&gt;0,$C$27))*$E$20," ")</f>
        <v xml:space="preserve"> </v>
      </c>
      <c r="N89" s="189" t="str">
        <f t="shared" ref="N89" si="7">IF(L89&lt;&gt;" ",L89+M89," ")</f>
        <v xml:space="preserve"> </v>
      </c>
      <c r="O89" s="187" t="str">
        <f>IF($E89&gt;0,($E89*IF($C$44&gt;0,$C$44,$D$44))*$B$42," ")</f>
        <v xml:space="preserve"> </v>
      </c>
      <c r="P89" s="190" t="str">
        <f t="shared" ref="P89:P100" si="8">IF($E89&gt;0,($E89*IF($C$49&gt;0,$C$49))*$B$42," ")</f>
        <v xml:space="preserve"> </v>
      </c>
      <c r="Q89" s="189" t="str">
        <f t="shared" ref="Q89" si="9">IF(O89&lt;&gt;" ",O89+P89," ")</f>
        <v xml:space="preserve"> </v>
      </c>
      <c r="R89" s="187" t="str">
        <f>IF($E89&gt;0,($E89*IF($C$45&gt;0,$C$45,$D$45))*$B$43," ")</f>
        <v xml:space="preserve"> </v>
      </c>
      <c r="S89" s="190" t="str">
        <f t="shared" ref="S89:S100" si="10">IF($E89&gt;0,($E89*IF($C$50&gt;0,$C$50))*$B$43," ")</f>
        <v xml:space="preserve"> </v>
      </c>
      <c r="T89" s="189" t="str">
        <f t="shared" ref="T89" si="11">IF(R89&lt;&gt;" ",R89+S89," ")</f>
        <v xml:space="preserve"> </v>
      </c>
      <c r="U89" s="191"/>
      <c r="V89" s="192" t="str">
        <f>IFERROR(F89+I89+L89+O89+R89," ")</f>
        <v xml:space="preserve"> </v>
      </c>
      <c r="W89" s="193" t="str">
        <f>IFERROR(G89+J89+M89+P89+S89," ")</f>
        <v xml:space="preserve"> </v>
      </c>
      <c r="X89" s="194" t="str">
        <f t="shared" ref="X89" si="12">IF(V89&lt;&gt;" ",V89+W89," ")</f>
        <v xml:space="preserve"> </v>
      </c>
      <c r="Y89" s="5"/>
    </row>
    <row r="90" spans="1:25" x14ac:dyDescent="0.25">
      <c r="A90" s="503"/>
      <c r="B90" s="19"/>
      <c r="C90" s="14" t="str">
        <f>IF($B$89&gt;=2,"Payment 2"," ")</f>
        <v xml:space="preserve"> </v>
      </c>
      <c r="D90" s="122"/>
      <c r="E90" s="204"/>
      <c r="F90" s="195" t="str">
        <f t="shared" ref="F90:F100" si="13">IF($E90&gt;0,($E90*IF($C$18&gt;0,$C$18,$D$18))*$E$18," ")</f>
        <v xml:space="preserve"> </v>
      </c>
      <c r="G90" s="188" t="str">
        <f t="shared" ref="G90:G100" si="14">IF($E90&gt;0,($E90*IF($C$25&gt;0,$C$25))*$E$18," ")</f>
        <v xml:space="preserve"> </v>
      </c>
      <c r="H90" s="189" t="str">
        <f t="shared" si="5"/>
        <v xml:space="preserve"> </v>
      </c>
      <c r="I90" s="195" t="str">
        <f t="shared" ref="I90:I100" si="15">IF($E90&gt;0,($E90*IF($C$19&gt;0,$C$19,$D$19))*$E$19," ")</f>
        <v xml:space="preserve"> </v>
      </c>
      <c r="J90" s="188" t="str">
        <f t="shared" ref="J90:J100" si="16">IF($E90&gt;0,($E90*IF($C$26&gt;0,$C$26))*$E$19," ")</f>
        <v xml:space="preserve"> </v>
      </c>
      <c r="K90" s="189" t="str">
        <f t="shared" ref="K90:K100" si="17">IF(I90&lt;&gt;" ",I90+J90," ")</f>
        <v xml:space="preserve"> </v>
      </c>
      <c r="L90" s="195" t="str">
        <f t="shared" ref="L90:L100" si="18">IF($E90&gt;0,($E90*IF($C$20&gt;0,$C$20,$D$20))*$E$20," ")</f>
        <v xml:space="preserve"> </v>
      </c>
      <c r="M90" s="188" t="str">
        <f t="shared" ref="M90:M100" si="19">IF($E90&gt;0,($E90*IF($C$27&gt;0,$C$27))*$E$20," ")</f>
        <v xml:space="preserve"> </v>
      </c>
      <c r="N90" s="189" t="str">
        <f t="shared" ref="N90:N100" si="20">IF(L90&lt;&gt;" ",L90+M90," ")</f>
        <v xml:space="preserve"> </v>
      </c>
      <c r="O90" s="195" t="str">
        <f t="shared" ref="O90:O100" si="21">IF($E90&gt;0,($E90*IF($C$44&gt;0,$C$44,$D$44))*$B$42," ")</f>
        <v xml:space="preserve"> </v>
      </c>
      <c r="P90" s="188" t="str">
        <f t="shared" si="8"/>
        <v xml:space="preserve"> </v>
      </c>
      <c r="Q90" s="189" t="str">
        <f t="shared" ref="Q90:Q100" si="22">IF(O90&lt;&gt;" ",O90+P90," ")</f>
        <v xml:space="preserve"> </v>
      </c>
      <c r="R90" s="195" t="str">
        <f t="shared" ref="R90:R100" si="23">IF($E90&gt;0,($E90*IF($C$45&gt;0,$C$45,$D$45))*$B$43," ")</f>
        <v xml:space="preserve"> </v>
      </c>
      <c r="S90" s="188" t="str">
        <f t="shared" si="10"/>
        <v xml:space="preserve"> </v>
      </c>
      <c r="T90" s="189" t="str">
        <f t="shared" ref="T90:T100" si="24">IF(R90&lt;&gt;" ",R90+S90," ")</f>
        <v xml:space="preserve"> </v>
      </c>
      <c r="U90" s="191"/>
      <c r="V90" s="196" t="str">
        <f t="shared" ref="V90:V100" si="25">IFERROR(F90+I90+L90+O90+R90," ")</f>
        <v xml:space="preserve"> </v>
      </c>
      <c r="W90" s="197" t="str">
        <f t="shared" ref="W90:W100" si="26">IFERROR(G90+J90+M90+P90+S90," ")</f>
        <v xml:space="preserve"> </v>
      </c>
      <c r="X90" s="194" t="str">
        <f t="shared" ref="X90:X100" si="27">IF(V90&lt;&gt;" ",V90+W90," ")</f>
        <v xml:space="preserve"> </v>
      </c>
      <c r="Y90" s="5"/>
    </row>
    <row r="91" spans="1:25" x14ac:dyDescent="0.25">
      <c r="A91" s="503"/>
      <c r="B91" s="19"/>
      <c r="C91" s="14" t="str">
        <f>IF($B$89&gt;=3,"Payment 3"," ")</f>
        <v xml:space="preserve"> </v>
      </c>
      <c r="D91" s="122"/>
      <c r="E91" s="204"/>
      <c r="F91" s="195" t="str">
        <f t="shared" si="13"/>
        <v xml:space="preserve"> </v>
      </c>
      <c r="G91" s="188" t="str">
        <f t="shared" si="14"/>
        <v xml:space="preserve"> </v>
      </c>
      <c r="H91" s="189" t="str">
        <f t="shared" si="5"/>
        <v xml:space="preserve"> </v>
      </c>
      <c r="I91" s="195" t="str">
        <f t="shared" si="15"/>
        <v xml:space="preserve"> </v>
      </c>
      <c r="J91" s="188" t="str">
        <f t="shared" si="16"/>
        <v xml:space="preserve"> </v>
      </c>
      <c r="K91" s="189" t="str">
        <f t="shared" si="17"/>
        <v xml:space="preserve"> </v>
      </c>
      <c r="L91" s="195" t="str">
        <f t="shared" si="18"/>
        <v xml:space="preserve"> </v>
      </c>
      <c r="M91" s="188" t="str">
        <f t="shared" si="19"/>
        <v xml:space="preserve"> </v>
      </c>
      <c r="N91" s="189" t="str">
        <f t="shared" si="20"/>
        <v xml:space="preserve"> </v>
      </c>
      <c r="O91" s="195" t="str">
        <f t="shared" si="21"/>
        <v xml:space="preserve"> </v>
      </c>
      <c r="P91" s="188" t="str">
        <f t="shared" si="8"/>
        <v xml:space="preserve"> </v>
      </c>
      <c r="Q91" s="189" t="str">
        <f t="shared" si="22"/>
        <v xml:space="preserve"> </v>
      </c>
      <c r="R91" s="195" t="str">
        <f t="shared" si="23"/>
        <v xml:space="preserve"> </v>
      </c>
      <c r="S91" s="188" t="str">
        <f t="shared" si="10"/>
        <v xml:space="preserve"> </v>
      </c>
      <c r="T91" s="189" t="str">
        <f t="shared" si="24"/>
        <v xml:space="preserve"> </v>
      </c>
      <c r="U91" s="191"/>
      <c r="V91" s="196" t="str">
        <f t="shared" si="25"/>
        <v xml:space="preserve"> </v>
      </c>
      <c r="W91" s="197" t="str">
        <f t="shared" si="26"/>
        <v xml:space="preserve"> </v>
      </c>
      <c r="X91" s="194" t="str">
        <f t="shared" si="27"/>
        <v xml:space="preserve"> </v>
      </c>
      <c r="Y91" s="5"/>
    </row>
    <row r="92" spans="1:25" x14ac:dyDescent="0.25">
      <c r="A92" s="503"/>
      <c r="B92" s="19"/>
      <c r="C92" s="14" t="str">
        <f>IF($B$89&gt;=4,"Payment 4"," ")</f>
        <v xml:space="preserve"> </v>
      </c>
      <c r="D92" s="122"/>
      <c r="E92" s="204"/>
      <c r="F92" s="195" t="str">
        <f t="shared" si="13"/>
        <v xml:space="preserve"> </v>
      </c>
      <c r="G92" s="188" t="str">
        <f t="shared" si="14"/>
        <v xml:space="preserve"> </v>
      </c>
      <c r="H92" s="189" t="str">
        <f t="shared" si="5"/>
        <v xml:space="preserve"> </v>
      </c>
      <c r="I92" s="195" t="str">
        <f t="shared" si="15"/>
        <v xml:space="preserve"> </v>
      </c>
      <c r="J92" s="188" t="str">
        <f t="shared" si="16"/>
        <v xml:space="preserve"> </v>
      </c>
      <c r="K92" s="189" t="str">
        <f t="shared" si="17"/>
        <v xml:space="preserve"> </v>
      </c>
      <c r="L92" s="195" t="str">
        <f t="shared" si="18"/>
        <v xml:space="preserve"> </v>
      </c>
      <c r="M92" s="188" t="str">
        <f t="shared" si="19"/>
        <v xml:space="preserve"> </v>
      </c>
      <c r="N92" s="189" t="str">
        <f t="shared" si="20"/>
        <v xml:space="preserve"> </v>
      </c>
      <c r="O92" s="195" t="str">
        <f t="shared" si="21"/>
        <v xml:space="preserve"> </v>
      </c>
      <c r="P92" s="188" t="str">
        <f t="shared" si="8"/>
        <v xml:space="preserve"> </v>
      </c>
      <c r="Q92" s="189" t="str">
        <f t="shared" si="22"/>
        <v xml:space="preserve"> </v>
      </c>
      <c r="R92" s="195" t="str">
        <f t="shared" si="23"/>
        <v xml:space="preserve"> </v>
      </c>
      <c r="S92" s="188" t="str">
        <f t="shared" si="10"/>
        <v xml:space="preserve"> </v>
      </c>
      <c r="T92" s="189" t="str">
        <f t="shared" si="24"/>
        <v xml:space="preserve"> </v>
      </c>
      <c r="U92" s="191"/>
      <c r="V92" s="196" t="str">
        <f t="shared" si="25"/>
        <v xml:space="preserve"> </v>
      </c>
      <c r="W92" s="197" t="str">
        <f t="shared" si="26"/>
        <v xml:space="preserve"> </v>
      </c>
      <c r="X92" s="194" t="str">
        <f t="shared" si="27"/>
        <v xml:space="preserve"> </v>
      </c>
      <c r="Y92" s="5"/>
    </row>
    <row r="93" spans="1:25" x14ac:dyDescent="0.25">
      <c r="A93" s="20"/>
      <c r="B93" s="19"/>
      <c r="C93" s="14" t="str">
        <f>IF($B$89&gt;=5,"Payment 5"," ")</f>
        <v xml:space="preserve"> </v>
      </c>
      <c r="D93" s="122"/>
      <c r="E93" s="204"/>
      <c r="F93" s="195" t="str">
        <f t="shared" si="13"/>
        <v xml:space="preserve"> </v>
      </c>
      <c r="G93" s="188" t="str">
        <f t="shared" si="14"/>
        <v xml:space="preserve"> </v>
      </c>
      <c r="H93" s="189" t="str">
        <f>IF(F93&lt;&gt;" ",F93+G93," ")</f>
        <v xml:space="preserve"> </v>
      </c>
      <c r="I93" s="195" t="str">
        <f t="shared" si="15"/>
        <v xml:space="preserve"> </v>
      </c>
      <c r="J93" s="188" t="str">
        <f t="shared" si="16"/>
        <v xml:space="preserve"> </v>
      </c>
      <c r="K93" s="189" t="str">
        <f t="shared" si="17"/>
        <v xml:space="preserve"> </v>
      </c>
      <c r="L93" s="195" t="str">
        <f t="shared" si="18"/>
        <v xml:space="preserve"> </v>
      </c>
      <c r="M93" s="188" t="str">
        <f t="shared" si="19"/>
        <v xml:space="preserve"> </v>
      </c>
      <c r="N93" s="189" t="str">
        <f t="shared" si="20"/>
        <v xml:space="preserve"> </v>
      </c>
      <c r="O93" s="195" t="str">
        <f t="shared" si="21"/>
        <v xml:space="preserve"> </v>
      </c>
      <c r="P93" s="188" t="str">
        <f t="shared" si="8"/>
        <v xml:space="preserve"> </v>
      </c>
      <c r="Q93" s="189" t="str">
        <f t="shared" si="22"/>
        <v xml:space="preserve"> </v>
      </c>
      <c r="R93" s="195" t="str">
        <f t="shared" si="23"/>
        <v xml:space="preserve"> </v>
      </c>
      <c r="S93" s="188" t="str">
        <f t="shared" si="10"/>
        <v xml:space="preserve"> </v>
      </c>
      <c r="T93" s="189" t="str">
        <f t="shared" si="24"/>
        <v xml:space="preserve"> </v>
      </c>
      <c r="U93" s="191"/>
      <c r="V93" s="196" t="str">
        <f t="shared" si="25"/>
        <v xml:space="preserve"> </v>
      </c>
      <c r="W93" s="197" t="str">
        <f t="shared" si="26"/>
        <v xml:space="preserve"> </v>
      </c>
      <c r="X93" s="194" t="str">
        <f t="shared" si="27"/>
        <v xml:space="preserve"> </v>
      </c>
      <c r="Y93" s="5"/>
    </row>
    <row r="94" spans="1:25" x14ac:dyDescent="0.25">
      <c r="A94" s="20"/>
      <c r="B94" s="19"/>
      <c r="C94" s="14" t="str">
        <f>IF($B$89&gt;=6,"Payment 6"," ")</f>
        <v xml:space="preserve"> </v>
      </c>
      <c r="D94" s="122"/>
      <c r="E94" s="204"/>
      <c r="F94" s="195" t="str">
        <f t="shared" si="13"/>
        <v xml:space="preserve"> </v>
      </c>
      <c r="G94" s="188" t="str">
        <f t="shared" si="14"/>
        <v xml:space="preserve"> </v>
      </c>
      <c r="H94" s="189" t="str">
        <f t="shared" ref="H94:H100" si="28">IF(F94&lt;&gt;" ",F94+G94," ")</f>
        <v xml:space="preserve"> </v>
      </c>
      <c r="I94" s="195" t="str">
        <f t="shared" si="15"/>
        <v xml:space="preserve"> </v>
      </c>
      <c r="J94" s="188" t="str">
        <f t="shared" si="16"/>
        <v xml:space="preserve"> </v>
      </c>
      <c r="K94" s="189" t="str">
        <f t="shared" si="17"/>
        <v xml:space="preserve"> </v>
      </c>
      <c r="L94" s="195" t="str">
        <f t="shared" si="18"/>
        <v xml:space="preserve"> </v>
      </c>
      <c r="M94" s="188" t="str">
        <f t="shared" si="19"/>
        <v xml:space="preserve"> </v>
      </c>
      <c r="N94" s="189" t="str">
        <f t="shared" si="20"/>
        <v xml:space="preserve"> </v>
      </c>
      <c r="O94" s="195" t="str">
        <f t="shared" si="21"/>
        <v xml:space="preserve"> </v>
      </c>
      <c r="P94" s="188" t="str">
        <f t="shared" si="8"/>
        <v xml:space="preserve"> </v>
      </c>
      <c r="Q94" s="189" t="str">
        <f t="shared" si="22"/>
        <v xml:space="preserve"> </v>
      </c>
      <c r="R94" s="195" t="str">
        <f t="shared" si="23"/>
        <v xml:space="preserve"> </v>
      </c>
      <c r="S94" s="188" t="str">
        <f t="shared" si="10"/>
        <v xml:space="preserve"> </v>
      </c>
      <c r="T94" s="189" t="str">
        <f t="shared" si="24"/>
        <v xml:space="preserve"> </v>
      </c>
      <c r="U94" s="191"/>
      <c r="V94" s="196" t="str">
        <f t="shared" si="25"/>
        <v xml:space="preserve"> </v>
      </c>
      <c r="W94" s="197" t="str">
        <f t="shared" si="26"/>
        <v xml:space="preserve"> </v>
      </c>
      <c r="X94" s="194" t="str">
        <f t="shared" si="27"/>
        <v xml:space="preserve"> </v>
      </c>
      <c r="Y94" s="5"/>
    </row>
    <row r="95" spans="1:25" x14ac:dyDescent="0.25">
      <c r="A95" s="19" t="s">
        <v>188</v>
      </c>
      <c r="B95" s="19"/>
      <c r="C95" s="14" t="str">
        <f>IF($B$89&gt;=7,"Payment 7"," ")</f>
        <v xml:space="preserve"> </v>
      </c>
      <c r="D95" s="122"/>
      <c r="E95" s="204"/>
      <c r="F95" s="195" t="str">
        <f t="shared" si="13"/>
        <v xml:space="preserve"> </v>
      </c>
      <c r="G95" s="188" t="str">
        <f t="shared" si="14"/>
        <v xml:space="preserve"> </v>
      </c>
      <c r="H95" s="189" t="str">
        <f t="shared" si="28"/>
        <v xml:space="preserve"> </v>
      </c>
      <c r="I95" s="195" t="str">
        <f t="shared" si="15"/>
        <v xml:space="preserve"> </v>
      </c>
      <c r="J95" s="188" t="str">
        <f t="shared" si="16"/>
        <v xml:space="preserve"> </v>
      </c>
      <c r="K95" s="189" t="str">
        <f t="shared" si="17"/>
        <v xml:space="preserve"> </v>
      </c>
      <c r="L95" s="195" t="str">
        <f t="shared" si="18"/>
        <v xml:space="preserve"> </v>
      </c>
      <c r="M95" s="188" t="str">
        <f t="shared" si="19"/>
        <v xml:space="preserve"> </v>
      </c>
      <c r="N95" s="189" t="str">
        <f t="shared" si="20"/>
        <v xml:space="preserve"> </v>
      </c>
      <c r="O95" s="195" t="str">
        <f t="shared" si="21"/>
        <v xml:space="preserve"> </v>
      </c>
      <c r="P95" s="188" t="str">
        <f t="shared" si="8"/>
        <v xml:space="preserve"> </v>
      </c>
      <c r="Q95" s="189" t="str">
        <f t="shared" si="22"/>
        <v xml:space="preserve"> </v>
      </c>
      <c r="R95" s="195" t="str">
        <f t="shared" si="23"/>
        <v xml:space="preserve"> </v>
      </c>
      <c r="S95" s="188" t="str">
        <f t="shared" si="10"/>
        <v xml:space="preserve"> </v>
      </c>
      <c r="T95" s="189" t="str">
        <f t="shared" si="24"/>
        <v xml:space="preserve"> </v>
      </c>
      <c r="U95" s="191"/>
      <c r="V95" s="196" t="str">
        <f t="shared" si="25"/>
        <v xml:space="preserve"> </v>
      </c>
      <c r="W95" s="197" t="str">
        <f t="shared" si="26"/>
        <v xml:space="preserve"> </v>
      </c>
      <c r="X95" s="194" t="str">
        <f t="shared" si="27"/>
        <v xml:space="preserve"> </v>
      </c>
      <c r="Y95" s="5"/>
    </row>
    <row r="96" spans="1:25" x14ac:dyDescent="0.25">
      <c r="A96" s="19" t="s">
        <v>189</v>
      </c>
      <c r="B96" s="19"/>
      <c r="C96" s="14" t="str">
        <f>IF($B$89&gt;=8,"Payment 8"," ")</f>
        <v xml:space="preserve"> </v>
      </c>
      <c r="D96" s="122"/>
      <c r="E96" s="204"/>
      <c r="F96" s="195" t="str">
        <f t="shared" si="13"/>
        <v xml:space="preserve"> </v>
      </c>
      <c r="G96" s="188" t="str">
        <f t="shared" si="14"/>
        <v xml:space="preserve"> </v>
      </c>
      <c r="H96" s="189" t="str">
        <f t="shared" si="28"/>
        <v xml:space="preserve"> </v>
      </c>
      <c r="I96" s="195" t="str">
        <f t="shared" si="15"/>
        <v xml:space="preserve"> </v>
      </c>
      <c r="J96" s="188" t="str">
        <f t="shared" si="16"/>
        <v xml:space="preserve"> </v>
      </c>
      <c r="K96" s="189" t="str">
        <f t="shared" si="17"/>
        <v xml:space="preserve"> </v>
      </c>
      <c r="L96" s="195" t="str">
        <f t="shared" si="18"/>
        <v xml:space="preserve"> </v>
      </c>
      <c r="M96" s="188" t="str">
        <f t="shared" si="19"/>
        <v xml:space="preserve"> </v>
      </c>
      <c r="N96" s="189" t="str">
        <f t="shared" si="20"/>
        <v xml:space="preserve"> </v>
      </c>
      <c r="O96" s="195" t="str">
        <f t="shared" si="21"/>
        <v xml:space="preserve"> </v>
      </c>
      <c r="P96" s="188" t="str">
        <f t="shared" si="8"/>
        <v xml:space="preserve"> </v>
      </c>
      <c r="Q96" s="189" t="str">
        <f t="shared" si="22"/>
        <v xml:space="preserve"> </v>
      </c>
      <c r="R96" s="195" t="str">
        <f t="shared" si="23"/>
        <v xml:space="preserve"> </v>
      </c>
      <c r="S96" s="188" t="str">
        <f t="shared" si="10"/>
        <v xml:space="preserve"> </v>
      </c>
      <c r="T96" s="189" t="str">
        <f t="shared" si="24"/>
        <v xml:space="preserve"> </v>
      </c>
      <c r="U96" s="191"/>
      <c r="V96" s="196" t="str">
        <f t="shared" si="25"/>
        <v xml:space="preserve"> </v>
      </c>
      <c r="W96" s="197" t="str">
        <f t="shared" si="26"/>
        <v xml:space="preserve"> </v>
      </c>
      <c r="X96" s="194" t="str">
        <f t="shared" si="27"/>
        <v xml:space="preserve"> </v>
      </c>
      <c r="Y96" s="5"/>
    </row>
    <row r="97" spans="1:25" x14ac:dyDescent="0.25">
      <c r="A97" s="19"/>
      <c r="B97" s="19"/>
      <c r="C97" s="14" t="str">
        <f>IF($B$89&gt;=9,"Payment 9"," ")</f>
        <v xml:space="preserve"> </v>
      </c>
      <c r="D97" s="122"/>
      <c r="E97" s="204"/>
      <c r="F97" s="195" t="str">
        <f t="shared" si="13"/>
        <v xml:space="preserve"> </v>
      </c>
      <c r="G97" s="188" t="str">
        <f t="shared" si="14"/>
        <v xml:space="preserve"> </v>
      </c>
      <c r="H97" s="189" t="str">
        <f t="shared" si="28"/>
        <v xml:space="preserve"> </v>
      </c>
      <c r="I97" s="195" t="str">
        <f t="shared" si="15"/>
        <v xml:space="preserve"> </v>
      </c>
      <c r="J97" s="188" t="str">
        <f t="shared" si="16"/>
        <v xml:space="preserve"> </v>
      </c>
      <c r="K97" s="189" t="str">
        <f t="shared" si="17"/>
        <v xml:space="preserve"> </v>
      </c>
      <c r="L97" s="195" t="str">
        <f t="shared" si="18"/>
        <v xml:space="preserve"> </v>
      </c>
      <c r="M97" s="188" t="str">
        <f t="shared" si="19"/>
        <v xml:space="preserve"> </v>
      </c>
      <c r="N97" s="189" t="str">
        <f t="shared" si="20"/>
        <v xml:space="preserve"> </v>
      </c>
      <c r="O97" s="195" t="str">
        <f t="shared" si="21"/>
        <v xml:space="preserve"> </v>
      </c>
      <c r="P97" s="188" t="str">
        <f t="shared" si="8"/>
        <v xml:space="preserve"> </v>
      </c>
      <c r="Q97" s="189" t="str">
        <f t="shared" si="22"/>
        <v xml:space="preserve"> </v>
      </c>
      <c r="R97" s="195" t="str">
        <f t="shared" si="23"/>
        <v xml:space="preserve"> </v>
      </c>
      <c r="S97" s="188" t="str">
        <f t="shared" si="10"/>
        <v xml:space="preserve"> </v>
      </c>
      <c r="T97" s="189" t="str">
        <f t="shared" si="24"/>
        <v xml:space="preserve"> </v>
      </c>
      <c r="U97" s="191"/>
      <c r="V97" s="196" t="str">
        <f t="shared" si="25"/>
        <v xml:space="preserve"> </v>
      </c>
      <c r="W97" s="197" t="str">
        <f t="shared" si="26"/>
        <v xml:space="preserve"> </v>
      </c>
      <c r="X97" s="194" t="str">
        <f t="shared" si="27"/>
        <v xml:space="preserve"> </v>
      </c>
      <c r="Y97" s="5"/>
    </row>
    <row r="98" spans="1:25" x14ac:dyDescent="0.25">
      <c r="A98" s="19"/>
      <c r="B98" s="19"/>
      <c r="C98" s="14" t="str">
        <f>IF($B$89&gt;=10,"Payment 10"," ")</f>
        <v xml:space="preserve"> </v>
      </c>
      <c r="D98" s="122"/>
      <c r="E98" s="204"/>
      <c r="F98" s="195" t="str">
        <f t="shared" si="13"/>
        <v xml:space="preserve"> </v>
      </c>
      <c r="G98" s="188" t="str">
        <f t="shared" si="14"/>
        <v xml:space="preserve"> </v>
      </c>
      <c r="H98" s="189" t="str">
        <f t="shared" si="28"/>
        <v xml:space="preserve"> </v>
      </c>
      <c r="I98" s="195" t="str">
        <f t="shared" si="15"/>
        <v xml:space="preserve"> </v>
      </c>
      <c r="J98" s="188" t="str">
        <f t="shared" si="16"/>
        <v xml:space="preserve"> </v>
      </c>
      <c r="K98" s="189" t="str">
        <f t="shared" si="17"/>
        <v xml:space="preserve"> </v>
      </c>
      <c r="L98" s="195" t="str">
        <f t="shared" si="18"/>
        <v xml:space="preserve"> </v>
      </c>
      <c r="M98" s="188" t="str">
        <f t="shared" si="19"/>
        <v xml:space="preserve"> </v>
      </c>
      <c r="N98" s="189" t="str">
        <f t="shared" si="20"/>
        <v xml:space="preserve"> </v>
      </c>
      <c r="O98" s="195" t="str">
        <f t="shared" si="21"/>
        <v xml:space="preserve"> </v>
      </c>
      <c r="P98" s="188" t="str">
        <f t="shared" si="8"/>
        <v xml:space="preserve"> </v>
      </c>
      <c r="Q98" s="189" t="str">
        <f t="shared" si="22"/>
        <v xml:space="preserve"> </v>
      </c>
      <c r="R98" s="195" t="str">
        <f t="shared" si="23"/>
        <v xml:space="preserve"> </v>
      </c>
      <c r="S98" s="188" t="str">
        <f t="shared" si="10"/>
        <v xml:space="preserve"> </v>
      </c>
      <c r="T98" s="189" t="str">
        <f t="shared" si="24"/>
        <v xml:space="preserve"> </v>
      </c>
      <c r="U98" s="191"/>
      <c r="V98" s="196" t="str">
        <f t="shared" si="25"/>
        <v xml:space="preserve"> </v>
      </c>
      <c r="W98" s="197" t="str">
        <f t="shared" si="26"/>
        <v xml:space="preserve"> </v>
      </c>
      <c r="X98" s="194" t="str">
        <f t="shared" si="27"/>
        <v xml:space="preserve"> </v>
      </c>
      <c r="Y98" s="5"/>
    </row>
    <row r="99" spans="1:25" x14ac:dyDescent="0.25">
      <c r="A99" s="19"/>
      <c r="B99" s="19"/>
      <c r="C99" s="14" t="str">
        <f>IF($B$89&gt;=11,"Payment 11"," ")</f>
        <v xml:space="preserve"> </v>
      </c>
      <c r="D99" s="122"/>
      <c r="E99" s="204"/>
      <c r="F99" s="195" t="str">
        <f t="shared" si="13"/>
        <v xml:space="preserve"> </v>
      </c>
      <c r="G99" s="188" t="str">
        <f t="shared" si="14"/>
        <v xml:space="preserve"> </v>
      </c>
      <c r="H99" s="189" t="str">
        <f t="shared" si="28"/>
        <v xml:space="preserve"> </v>
      </c>
      <c r="I99" s="195" t="str">
        <f t="shared" si="15"/>
        <v xml:space="preserve"> </v>
      </c>
      <c r="J99" s="188" t="str">
        <f t="shared" si="16"/>
        <v xml:space="preserve"> </v>
      </c>
      <c r="K99" s="189" t="str">
        <f t="shared" si="17"/>
        <v xml:space="preserve"> </v>
      </c>
      <c r="L99" s="195" t="str">
        <f t="shared" si="18"/>
        <v xml:space="preserve"> </v>
      </c>
      <c r="M99" s="188" t="str">
        <f t="shared" si="19"/>
        <v xml:space="preserve"> </v>
      </c>
      <c r="N99" s="189" t="str">
        <f t="shared" si="20"/>
        <v xml:space="preserve"> </v>
      </c>
      <c r="O99" s="195" t="str">
        <f t="shared" si="21"/>
        <v xml:space="preserve"> </v>
      </c>
      <c r="P99" s="188" t="str">
        <f t="shared" si="8"/>
        <v xml:space="preserve"> </v>
      </c>
      <c r="Q99" s="189" t="str">
        <f t="shared" si="22"/>
        <v xml:space="preserve"> </v>
      </c>
      <c r="R99" s="195" t="str">
        <f t="shared" si="23"/>
        <v xml:space="preserve"> </v>
      </c>
      <c r="S99" s="188" t="str">
        <f t="shared" si="10"/>
        <v xml:space="preserve"> </v>
      </c>
      <c r="T99" s="189" t="str">
        <f t="shared" si="24"/>
        <v xml:space="preserve"> </v>
      </c>
      <c r="U99" s="191"/>
      <c r="V99" s="196" t="str">
        <f t="shared" si="25"/>
        <v xml:space="preserve"> </v>
      </c>
      <c r="W99" s="197" t="str">
        <f t="shared" si="26"/>
        <v xml:space="preserve"> </v>
      </c>
      <c r="X99" s="194" t="str">
        <f t="shared" si="27"/>
        <v xml:space="preserve"> </v>
      </c>
      <c r="Y99" s="5"/>
    </row>
    <row r="100" spans="1:25" x14ac:dyDescent="0.25">
      <c r="A100" s="19"/>
      <c r="B100" s="19"/>
      <c r="C100" s="14" t="str">
        <f>IF($B$89&gt;=12,"Payment 12"," ")</f>
        <v xml:space="preserve"> </v>
      </c>
      <c r="D100" s="122"/>
      <c r="E100" s="204"/>
      <c r="F100" s="195" t="str">
        <f t="shared" si="13"/>
        <v xml:space="preserve"> </v>
      </c>
      <c r="G100" s="188" t="str">
        <f t="shared" si="14"/>
        <v xml:space="preserve"> </v>
      </c>
      <c r="H100" s="189" t="str">
        <f t="shared" si="28"/>
        <v xml:space="preserve"> </v>
      </c>
      <c r="I100" s="195" t="str">
        <f t="shared" si="15"/>
        <v xml:space="preserve"> </v>
      </c>
      <c r="J100" s="188" t="str">
        <f t="shared" si="16"/>
        <v xml:space="preserve"> </v>
      </c>
      <c r="K100" s="189" t="str">
        <f t="shared" si="17"/>
        <v xml:space="preserve"> </v>
      </c>
      <c r="L100" s="195" t="str">
        <f t="shared" si="18"/>
        <v xml:space="preserve"> </v>
      </c>
      <c r="M100" s="188" t="str">
        <f t="shared" si="19"/>
        <v xml:space="preserve"> </v>
      </c>
      <c r="N100" s="189" t="str">
        <f t="shared" si="20"/>
        <v xml:space="preserve"> </v>
      </c>
      <c r="O100" s="195" t="str">
        <f t="shared" si="21"/>
        <v xml:space="preserve"> </v>
      </c>
      <c r="P100" s="188" t="str">
        <f t="shared" si="8"/>
        <v xml:space="preserve"> </v>
      </c>
      <c r="Q100" s="189" t="str">
        <f t="shared" si="22"/>
        <v xml:space="preserve"> </v>
      </c>
      <c r="R100" s="195" t="str">
        <f t="shared" si="23"/>
        <v xml:space="preserve"> </v>
      </c>
      <c r="S100" s="188" t="str">
        <f t="shared" si="10"/>
        <v xml:space="preserve"> </v>
      </c>
      <c r="T100" s="189" t="str">
        <f t="shared" si="24"/>
        <v xml:space="preserve"> </v>
      </c>
      <c r="U100" s="191"/>
      <c r="V100" s="196" t="str">
        <f t="shared" si="25"/>
        <v xml:space="preserve"> </v>
      </c>
      <c r="W100" s="197" t="str">
        <f t="shared" si="26"/>
        <v xml:space="preserve"> </v>
      </c>
      <c r="X100" s="194" t="str">
        <f t="shared" si="27"/>
        <v xml:space="preserve"> </v>
      </c>
      <c r="Y100" s="5"/>
    </row>
    <row r="101" spans="1:25" x14ac:dyDescent="0.25">
      <c r="A101" s="19"/>
      <c r="B101" s="19"/>
      <c r="C101" s="14"/>
      <c r="D101" s="14"/>
      <c r="E101" s="185"/>
      <c r="F101" s="195"/>
      <c r="G101" s="188"/>
      <c r="H101" s="189"/>
      <c r="I101" s="195"/>
      <c r="J101" s="188"/>
      <c r="K101" s="189"/>
      <c r="L101" s="195"/>
      <c r="M101" s="188"/>
      <c r="N101" s="189"/>
      <c r="O101" s="195"/>
      <c r="P101" s="188"/>
      <c r="Q101" s="189"/>
      <c r="R101" s="195"/>
      <c r="S101" s="188"/>
      <c r="T101" s="189"/>
      <c r="U101" s="191"/>
      <c r="V101" s="196"/>
      <c r="W101" s="197"/>
      <c r="X101" s="198"/>
    </row>
    <row r="102" spans="1:25" x14ac:dyDescent="0.25">
      <c r="A102" s="19" t="s">
        <v>190</v>
      </c>
      <c r="B102" s="62"/>
      <c r="C102" s="17"/>
      <c r="D102" s="17"/>
      <c r="E102" s="186"/>
      <c r="F102" s="199">
        <f>SUM(F89:F100)</f>
        <v>0</v>
      </c>
      <c r="G102" s="200">
        <f t="shared" ref="G102:H102" si="29">SUM(G89:G100)</f>
        <v>0</v>
      </c>
      <c r="H102" s="200">
        <f t="shared" si="29"/>
        <v>0</v>
      </c>
      <c r="I102" s="199">
        <f>SUM(I89:I100)</f>
        <v>0</v>
      </c>
      <c r="J102" s="200">
        <f t="shared" ref="J102:T102" si="30">SUM(J89:J100)</f>
        <v>0</v>
      </c>
      <c r="K102" s="201">
        <f t="shared" si="30"/>
        <v>0</v>
      </c>
      <c r="L102" s="199">
        <f>SUM(L89:L100)</f>
        <v>0</v>
      </c>
      <c r="M102" s="200">
        <f t="shared" si="30"/>
        <v>0</v>
      </c>
      <c r="N102" s="201">
        <f t="shared" si="30"/>
        <v>0</v>
      </c>
      <c r="O102" s="199">
        <f>SUM(O89:O100)</f>
        <v>0</v>
      </c>
      <c r="P102" s="200">
        <f t="shared" si="30"/>
        <v>0</v>
      </c>
      <c r="Q102" s="201">
        <f t="shared" si="30"/>
        <v>0</v>
      </c>
      <c r="R102" s="199">
        <f>SUM(R89:R100)</f>
        <v>0</v>
      </c>
      <c r="S102" s="200">
        <f t="shared" si="30"/>
        <v>0</v>
      </c>
      <c r="T102" s="201">
        <f t="shared" si="30"/>
        <v>0</v>
      </c>
      <c r="U102" s="202"/>
      <c r="V102" s="205">
        <f>SUM(V89:V101)</f>
        <v>0</v>
      </c>
      <c r="W102" s="206">
        <f>SUM(W89:W101)</f>
        <v>0</v>
      </c>
      <c r="X102" s="207">
        <f>SUM(X89:X101)</f>
        <v>0</v>
      </c>
      <c r="Y102" s="5"/>
    </row>
    <row r="103" spans="1:25" x14ac:dyDescent="0.25">
      <c r="A103" s="19"/>
      <c r="B103" s="44"/>
      <c r="C103" s="45"/>
      <c r="D103" s="45"/>
      <c r="E103" s="45"/>
      <c r="F103" s="45"/>
      <c r="G103" s="45"/>
      <c r="H103" s="45"/>
      <c r="I103" s="45"/>
      <c r="J103" s="45"/>
      <c r="K103" s="45"/>
      <c r="L103" s="45"/>
      <c r="M103" s="45"/>
      <c r="N103" s="45"/>
      <c r="O103" s="45"/>
      <c r="P103" s="45"/>
      <c r="Q103" s="45"/>
      <c r="R103" s="45"/>
      <c r="S103" s="45"/>
      <c r="T103" s="45"/>
      <c r="U103" s="45"/>
      <c r="V103" s="45"/>
      <c r="W103" s="45"/>
      <c r="X103" s="46"/>
    </row>
    <row r="104" spans="1:25" x14ac:dyDescent="0.25">
      <c r="A104" s="65" t="s">
        <v>191</v>
      </c>
      <c r="B104" s="85"/>
      <c r="C104" s="208"/>
      <c r="D104" s="208"/>
      <c r="E104" s="209">
        <f>SUM(E89:E101)</f>
        <v>0</v>
      </c>
      <c r="F104" s="493" t="str">
        <f>IF(E104&lt;&gt;1,"Percentages must total 100%"," ")</f>
        <v>Percentages must total 100%</v>
      </c>
      <c r="G104" s="494"/>
      <c r="H104" s="494"/>
      <c r="I104" s="494"/>
      <c r="J104" s="494"/>
      <c r="K104" s="495"/>
      <c r="L104" s="208"/>
      <c r="M104" s="208"/>
      <c r="N104" s="208"/>
      <c r="O104" s="208"/>
      <c r="P104" s="208"/>
      <c r="Q104" s="208"/>
      <c r="R104" s="208"/>
      <c r="S104" s="208"/>
      <c r="T104" s="208"/>
      <c r="U104" s="208"/>
      <c r="V104" s="208"/>
      <c r="W104" s="208"/>
      <c r="X104" s="210"/>
    </row>
    <row r="105" spans="1:25" ht="15" customHeight="1" x14ac:dyDescent="0.25">
      <c r="A105" s="304"/>
      <c r="B105" s="508"/>
      <c r="C105" s="508"/>
      <c r="D105" s="508"/>
      <c r="E105" s="508"/>
      <c r="F105" s="508"/>
      <c r="G105" s="508"/>
      <c r="H105" s="508"/>
      <c r="I105" s="508"/>
      <c r="J105" s="508"/>
      <c r="K105" s="508"/>
      <c r="L105" s="508"/>
      <c r="M105" s="508"/>
      <c r="N105" s="508"/>
      <c r="O105" s="265"/>
      <c r="P105" s="265"/>
      <c r="Q105" s="265"/>
      <c r="R105" s="265"/>
      <c r="S105" s="265"/>
      <c r="T105" s="265"/>
      <c r="U105" s="265"/>
      <c r="V105" s="265"/>
      <c r="W105" s="265"/>
      <c r="X105" s="269"/>
    </row>
    <row r="106" spans="1:25" x14ac:dyDescent="0.25">
      <c r="E106" s="501"/>
      <c r="F106" s="501"/>
      <c r="G106" s="501"/>
    </row>
  </sheetData>
  <sheetProtection algorithmName="SHA-512" hashValue="ruUGhRUyGxbK8NcYH3ZgznYQ8CioJpyURLIQJD3uVzZ1G2b7hVyeNEmVHqWqEEXfc5ZB6C4e86hhZPBY+IGfUw==" saltValue="PjzL0YYcZQI1Rvez9GPQzw==" spinCount="100000" sheet="1" objects="1" scenarios="1"/>
  <mergeCells count="45">
    <mergeCell ref="A5:F5"/>
    <mergeCell ref="S9:V9"/>
    <mergeCell ref="N41:P41"/>
    <mergeCell ref="G36:K36"/>
    <mergeCell ref="B22:C22"/>
    <mergeCell ref="A6:F6"/>
    <mergeCell ref="G19:K19"/>
    <mergeCell ref="G20:K20"/>
    <mergeCell ref="G18:K18"/>
    <mergeCell ref="G21:L21"/>
    <mergeCell ref="B7:D8"/>
    <mergeCell ref="G13:K13"/>
    <mergeCell ref="K9:Q9"/>
    <mergeCell ref="G29:O30"/>
    <mergeCell ref="L87:N87"/>
    <mergeCell ref="O87:Q87"/>
    <mergeCell ref="R87:T87"/>
    <mergeCell ref="V87:X87"/>
    <mergeCell ref="B23:B24"/>
    <mergeCell ref="C23:C24"/>
    <mergeCell ref="D23:D24"/>
    <mergeCell ref="E23:F23"/>
    <mergeCell ref="E24:F24"/>
    <mergeCell ref="G52:O53"/>
    <mergeCell ref="E106:G106"/>
    <mergeCell ref="A89:A92"/>
    <mergeCell ref="G46:J46"/>
    <mergeCell ref="C40:E40"/>
    <mergeCell ref="B105:N105"/>
    <mergeCell ref="M86:P86"/>
    <mergeCell ref="B86:I86"/>
    <mergeCell ref="G44:I44"/>
    <mergeCell ref="G66:J66"/>
    <mergeCell ref="B47:B48"/>
    <mergeCell ref="C47:C48"/>
    <mergeCell ref="D47:D48"/>
    <mergeCell ref="E47:F47"/>
    <mergeCell ref="E48:F48"/>
    <mergeCell ref="F87:H87"/>
    <mergeCell ref="I87:K87"/>
    <mergeCell ref="F104:K104"/>
    <mergeCell ref="A31:F31"/>
    <mergeCell ref="A54:F54"/>
    <mergeCell ref="B87:E87"/>
    <mergeCell ref="A85:F85"/>
  </mergeCells>
  <conditionalFormatting sqref="B13">
    <cfRule type="expression" dxfId="29" priority="31">
      <formula>$B$12="No"</formula>
    </cfRule>
  </conditionalFormatting>
  <conditionalFormatting sqref="B36:B37">
    <cfRule type="expression" dxfId="28" priority="30">
      <formula>$B$35="No"</formula>
    </cfRule>
  </conditionalFormatting>
  <conditionalFormatting sqref="B22:C22">
    <cfRule type="expression" dxfId="27" priority="11">
      <formula>$B$22&lt;&gt;" "</formula>
    </cfRule>
  </conditionalFormatting>
  <conditionalFormatting sqref="B41:C41">
    <cfRule type="expression" dxfId="26" priority="10">
      <formula>$B$41&lt;&gt;" "</formula>
    </cfRule>
  </conditionalFormatting>
  <conditionalFormatting sqref="C21:E21">
    <cfRule type="expression" dxfId="25" priority="26">
      <formula>$B$21&gt;1</formula>
    </cfRule>
  </conditionalFormatting>
  <conditionalFormatting sqref="C40:E40">
    <cfRule type="expression" dxfId="24" priority="21">
      <formula>$B$39+$B$40&gt;1</formula>
    </cfRule>
  </conditionalFormatting>
  <conditionalFormatting sqref="E89:E100">
    <cfRule type="expression" dxfId="23" priority="39">
      <formula>$B$7&gt;=2</formula>
    </cfRule>
    <cfRule type="expression" dxfId="22" priority="40">
      <formula>$B$7&gt;=1</formula>
    </cfRule>
  </conditionalFormatting>
  <conditionalFormatting sqref="F104">
    <cfRule type="expression" dxfId="21" priority="6">
      <formula>$G$20&lt;&gt;" "</formula>
    </cfRule>
  </conditionalFormatting>
  <conditionalFormatting sqref="F104:I104">
    <cfRule type="expression" dxfId="20" priority="5">
      <formula>$F$21&lt;&gt;$F$14</formula>
    </cfRule>
  </conditionalFormatting>
  <conditionalFormatting sqref="F104:K104">
    <cfRule type="expression" dxfId="19" priority="3">
      <formula>$F$104&lt;&gt;" "</formula>
    </cfRule>
    <cfRule type="expression" dxfId="18" priority="4">
      <formula>#REF!&lt;&gt;" "</formula>
    </cfRule>
  </conditionalFormatting>
  <conditionalFormatting sqref="G13">
    <cfRule type="expression" dxfId="17" priority="29">
      <formula>($B$13+$B$36)&gt;$F$3</formula>
    </cfRule>
  </conditionalFormatting>
  <conditionalFormatting sqref="G18:G19">
    <cfRule type="expression" dxfId="16" priority="52">
      <formula>$G$18&lt;&gt;" "</formula>
    </cfRule>
  </conditionalFormatting>
  <conditionalFormatting sqref="G20:G21">
    <cfRule type="expression" dxfId="15" priority="51">
      <formula>$G$20&lt;&gt;" "</formula>
    </cfRule>
  </conditionalFormatting>
  <conditionalFormatting sqref="G36">
    <cfRule type="expression" dxfId="14" priority="28">
      <formula>($B$13+$B$36)&gt;$F$3</formula>
    </cfRule>
  </conditionalFormatting>
  <conditionalFormatting sqref="G46">
    <cfRule type="expression" dxfId="13" priority="9">
      <formula>$G$20&lt;&gt;" "</formula>
    </cfRule>
  </conditionalFormatting>
  <conditionalFormatting sqref="G21:J21">
    <cfRule type="expression" dxfId="12" priority="25">
      <formula>$F$21&lt;&gt;$F$14</formula>
    </cfRule>
  </conditionalFormatting>
  <conditionalFormatting sqref="G46:J46">
    <cfRule type="expression" dxfId="11" priority="22">
      <formula>$F$46&gt;$F$37</formula>
    </cfRule>
    <cfRule type="expression" dxfId="10" priority="23">
      <formula>$F$21&gt;$F$14</formula>
    </cfRule>
  </conditionalFormatting>
  <conditionalFormatting sqref="G29:O30">
    <cfRule type="expression" dxfId="9" priority="2">
      <formula>G29&lt;&gt;" "</formula>
    </cfRule>
  </conditionalFormatting>
  <conditionalFormatting sqref="G52:O53">
    <cfRule type="expression" dxfId="8" priority="1">
      <formula>G52&lt;&gt;" "</formula>
    </cfRule>
  </conditionalFormatting>
  <dataValidations xWindow="858" yWindow="1184" count="6">
    <dataValidation type="whole" allowBlank="1" showInputMessage="1" showErrorMessage="1" prompt="wrong" sqref="G32" xr:uid="{19B217FD-9FF8-4647-85E6-74687D766BFD}">
      <formula1>#REF!-100</formula1>
      <formula2>#REF!+100</formula2>
    </dataValidation>
    <dataValidation type="whole" allowBlank="1" showInputMessage="1" showErrorMessage="1" prompt="Total cost of stipends does not equal the alloted amount. Please adjust the stipend amount, number of participating teachers, or both." sqref="G31" xr:uid="{38A4C917-2D66-4877-91F8-1CA3EAB6A72F}">
      <formula1>#REF!-100</formula1>
      <formula2>#REF!+100</formula2>
    </dataValidation>
    <dataValidation type="whole" allowBlank="1" showInputMessage="1" showErrorMessage="1" error="This must equal 0 if using Method 1 for calculating stipends" prompt="If entering a stipend amount here, make sure the percentage in column B is set to 0%." sqref="C18" xr:uid="{3E6A1922-F364-41AC-86D9-EF15DD437948}">
      <formula1>0</formula1>
      <formula2>100000</formula2>
    </dataValidation>
    <dataValidation type="whole" allowBlank="1" showInputMessage="1" showErrorMessage="1" prompt="If entering a stipend amount here, make sure the percentage in column B is set to 0%." sqref="C19:C20" xr:uid="{8FC41162-0F0D-4500-A343-D3D2E2CA4E8A}">
      <formula1>0</formula1>
      <formula2>100000</formula2>
    </dataValidation>
    <dataValidation type="whole" allowBlank="1" showInputMessage="1" showErrorMessage="1" prompt="Enter a stipend amount here if you choose not to use the calculated stipend amount in the next column. Otherwise, leave blank or enter 0." sqref="C44:C45" xr:uid="{1A22B612-6D4F-46F3-96E7-434867A1AF73}">
      <formula1>0</formula1>
      <formula2>100000</formula2>
    </dataValidation>
    <dataValidation type="whole" allowBlank="1" showInputMessage="1" showErrorMessage="1" prompt="This stipend is calculated by dividing the amount allocated for other eligible staff by the number of participating other eligible staff. If using this amount set the Method 1 amount in column C to $0 or leave blank." sqref="D44:D46" xr:uid="{1E4F360D-0367-49DC-B9FC-7704E395D402}">
      <formula1>0</formula1>
      <formula2>100000</formula2>
    </dataValidation>
  </dataValidations>
  <pageMargins left="0.7" right="0.7" top="0.75" bottom="0.75" header="0.3" footer="0.3"/>
  <pageSetup orientation="landscape" horizontalDpi="0" verticalDpi="0" r:id="rId1"/>
  <drawing r:id="rId2"/>
  <extLst>
    <ext xmlns:x14="http://schemas.microsoft.com/office/spreadsheetml/2009/9/main" uri="{CCE6A557-97BC-4b89-ADB6-D9C93CAAB3DF}">
      <x14:dataValidations xmlns:xm="http://schemas.microsoft.com/office/excel/2006/main" xWindow="858" yWindow="1184" count="6">
        <x14:dataValidation type="list" allowBlank="1" showInputMessage="1" showErrorMessage="1" prompt="Select a percentage between 0% and 100%. If entering a stipend amount directly in the next column, set the percentage to 0%." xr:uid="{6804EF8D-F0F8-4412-BE89-DFE637E0B0E6}">
          <x14:formula1>
            <xm:f>'Lookup Table'!$R$11:$R$111</xm:f>
          </x14:formula1>
          <xm:sqref>B18</xm:sqref>
        </x14:dataValidation>
        <x14:dataValidation type="list" allowBlank="1" showInputMessage="1" showErrorMessage="1" prompt="Select a percentage between 0% and 100%. If entering a stipend amount directly in the next column, set the percentage to 0%." xr:uid="{448C8CB6-BD11-4B65-A5E0-2C32B88EED92}">
          <x14:formula1>
            <xm:f>'Lookup Table'!$S$11:$S$111</xm:f>
          </x14:formula1>
          <xm:sqref>B19</xm:sqref>
        </x14:dataValidation>
        <x14:dataValidation type="list" allowBlank="1" showInputMessage="1" prompt="Select a percentage between 0% and 100%. If entering a stipend amount directly in the next column, set the percentage to 0%." xr:uid="{C5CADA19-EC9F-4D45-8C64-01251893C6CA}">
          <x14:formula1>
            <xm:f>'Lookup Table'!$T$11:$T$111</xm:f>
          </x14:formula1>
          <xm:sqref>B20</xm:sqref>
        </x14:dataValidation>
        <x14:dataValidation type="list" allowBlank="1" showInputMessage="1" showErrorMessage="1" xr:uid="{ACBB4086-8C55-414D-A7D0-94D46E28FCCC}">
          <x14:formula1>
            <xm:f>'Lookup Table'!$V$10:$V$22</xm:f>
          </x14:formula1>
          <xm:sqref>D89:D100</xm:sqref>
        </x14:dataValidation>
        <x14:dataValidation type="list" allowBlank="1" showInputMessage="1" showErrorMessage="1" xr:uid="{0747114F-7318-4DC7-A348-7DF6ABB2C469}">
          <x14:formula1>
            <xm:f>'Lookup Table'!$Q$10:$Q$22</xm:f>
          </x14:formula1>
          <xm:sqref>M16:M28</xm:sqref>
        </x14:dataValidation>
        <x14:dataValidation type="list" allowBlank="1" showInputMessage="1" showErrorMessage="1" xr:uid="{DBBAB991-C6D0-4531-8CBA-479C458BDD8E}">
          <x14:formula1>
            <xm:f>'Lookup Table'!$P$3:$P$3</xm:f>
          </x14:formula1>
          <xm:sqref>B12 B35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F382-C9BD-4108-893D-803D168E00B2}">
  <dimension ref="A1:AN113"/>
  <sheetViews>
    <sheetView showGridLines="0" workbookViewId="0">
      <selection activeCell="M61" sqref="M61"/>
    </sheetView>
  </sheetViews>
  <sheetFormatPr defaultRowHeight="15" x14ac:dyDescent="0.25"/>
  <cols>
    <col min="1" max="1" width="70.85546875" customWidth="1"/>
    <col min="2" max="2" width="18.42578125" customWidth="1"/>
    <col min="3" max="3" width="14" customWidth="1"/>
    <col min="4" max="4" width="13.140625" customWidth="1"/>
    <col min="5" max="5" width="14.42578125" customWidth="1"/>
    <col min="6" max="8" width="13.140625" customWidth="1"/>
    <col min="9" max="9" width="13.42578125" customWidth="1"/>
    <col min="10" max="22" width="13.5703125" customWidth="1"/>
    <col min="23" max="23" width="13.42578125" customWidth="1"/>
  </cols>
  <sheetData>
    <row r="1" spans="1:21" ht="48.2" customHeight="1" x14ac:dyDescent="0.25">
      <c r="A1" s="267" t="s">
        <v>192</v>
      </c>
      <c r="B1" s="42"/>
      <c r="C1" s="42"/>
      <c r="D1" s="265"/>
      <c r="E1" s="265"/>
      <c r="F1" s="265"/>
      <c r="G1" s="265"/>
      <c r="H1" s="265"/>
      <c r="I1" s="265"/>
      <c r="J1" s="265"/>
      <c r="K1" s="265"/>
      <c r="L1" s="265"/>
      <c r="M1" s="265"/>
      <c r="N1" s="265"/>
      <c r="O1" s="265"/>
      <c r="P1" s="265"/>
      <c r="Q1" s="265"/>
      <c r="R1" s="265"/>
      <c r="S1" s="265"/>
      <c r="T1" s="265"/>
      <c r="U1" s="269"/>
    </row>
    <row r="2" spans="1:21" x14ac:dyDescent="0.25">
      <c r="B2" s="135" t="s">
        <v>87</v>
      </c>
      <c r="C2" s="135" t="s">
        <v>193</v>
      </c>
    </row>
    <row r="3" spans="1:21" ht="15.75" x14ac:dyDescent="0.25">
      <c r="A3" s="319" t="s">
        <v>194</v>
      </c>
      <c r="B3" s="136">
        <f>Allotments!C33+Allotments!D33</f>
        <v>0</v>
      </c>
      <c r="C3" s="99">
        <f>Allotments!C35+Allotments!D35</f>
        <v>0</v>
      </c>
    </row>
    <row r="4" spans="1:21" x14ac:dyDescent="0.25">
      <c r="B4" s="5"/>
    </row>
    <row r="5" spans="1:21" ht="17.25" customHeight="1" x14ac:dyDescent="0.25">
      <c r="A5" s="320" t="s">
        <v>195</v>
      </c>
      <c r="B5" s="290"/>
    </row>
    <row r="6" spans="1:21" x14ac:dyDescent="0.25">
      <c r="A6" s="544" t="s">
        <v>196</v>
      </c>
      <c r="B6" s="130"/>
    </row>
    <row r="7" spans="1:21" x14ac:dyDescent="0.25">
      <c r="A7" s="545"/>
      <c r="B7" s="130"/>
    </row>
    <row r="8" spans="1:21" x14ac:dyDescent="0.25">
      <c r="A8" s="545"/>
      <c r="B8" s="117"/>
    </row>
    <row r="9" spans="1:21" x14ac:dyDescent="0.25">
      <c r="A9" s="545"/>
      <c r="B9" s="117"/>
    </row>
    <row r="10" spans="1:21" x14ac:dyDescent="0.25">
      <c r="A10" s="546"/>
      <c r="B10" s="121"/>
    </row>
    <row r="11" spans="1:21" x14ac:dyDescent="0.25">
      <c r="B11" s="5"/>
    </row>
    <row r="12" spans="1:21" ht="30" x14ac:dyDescent="0.25">
      <c r="A12" s="313" t="s">
        <v>197</v>
      </c>
      <c r="B12" s="308" t="s">
        <v>198</v>
      </c>
      <c r="C12" s="309" t="s">
        <v>199</v>
      </c>
    </row>
    <row r="13" spans="1:21" x14ac:dyDescent="0.25">
      <c r="A13" s="85" t="s">
        <v>200</v>
      </c>
      <c r="B13" s="131">
        <v>0</v>
      </c>
      <c r="C13" s="71">
        <f>ROUND(B13*C$3,0)</f>
        <v>0</v>
      </c>
    </row>
    <row r="14" spans="1:21" x14ac:dyDescent="0.25">
      <c r="A14" s="62" t="s">
        <v>201</v>
      </c>
      <c r="B14" s="122">
        <v>0</v>
      </c>
      <c r="C14" s="38">
        <f>ROUND(B14*C$3,0)</f>
        <v>0</v>
      </c>
      <c r="I14" s="41"/>
    </row>
    <row r="15" spans="1:21" x14ac:dyDescent="0.25">
      <c r="A15" s="62" t="s">
        <v>202</v>
      </c>
      <c r="B15" s="314">
        <f>1-B13-B14</f>
        <v>1</v>
      </c>
      <c r="C15" s="38">
        <f>ROUND(B15*C3,0)</f>
        <v>0</v>
      </c>
      <c r="I15" s="41"/>
    </row>
    <row r="16" spans="1:21" x14ac:dyDescent="0.25">
      <c r="A16" t="s">
        <v>108</v>
      </c>
      <c r="B16" s="25"/>
      <c r="C16" s="5"/>
      <c r="I16" s="41"/>
    </row>
    <row r="17" spans="1:40" ht="17.25" customHeight="1" x14ac:dyDescent="0.25">
      <c r="A17" s="322" t="s">
        <v>203</v>
      </c>
      <c r="B17" s="102"/>
      <c r="C17" s="103"/>
      <c r="D17" s="104"/>
      <c r="E17" s="104"/>
      <c r="F17" s="104"/>
      <c r="G17" s="104"/>
      <c r="H17" s="104"/>
      <c r="I17" s="105"/>
      <c r="J17" s="104"/>
      <c r="K17" s="104"/>
      <c r="L17" s="104"/>
      <c r="M17" s="104"/>
      <c r="N17" s="104"/>
      <c r="O17" s="104"/>
      <c r="P17" s="104"/>
      <c r="Q17" s="104"/>
      <c r="R17" s="104"/>
      <c r="S17" s="104"/>
      <c r="T17" s="104"/>
      <c r="U17" s="106"/>
    </row>
    <row r="18" spans="1:40" ht="202.5" customHeight="1" x14ac:dyDescent="0.25">
      <c r="A18" s="454" t="s">
        <v>204</v>
      </c>
      <c r="B18" s="455"/>
      <c r="C18" s="455"/>
      <c r="D18" s="455"/>
      <c r="E18" s="455"/>
      <c r="F18" s="455"/>
      <c r="G18" s="455"/>
      <c r="H18" s="455"/>
      <c r="I18" s="455"/>
      <c r="J18" s="455"/>
      <c r="K18" s="455"/>
      <c r="L18" s="455"/>
      <c r="M18" s="455"/>
      <c r="N18" s="455"/>
      <c r="O18" s="455"/>
      <c r="P18" s="455"/>
      <c r="Q18" s="455"/>
      <c r="R18" s="455"/>
      <c r="S18" s="455"/>
      <c r="T18" s="455"/>
      <c r="U18" s="456"/>
    </row>
    <row r="19" spans="1:40" ht="14.25" customHeight="1" x14ac:dyDescent="0.25">
      <c r="A19" s="270"/>
      <c r="B19" s="310"/>
      <c r="C19" s="311">
        <f>IF($B6&lt;&gt;" ",$B6," ")</f>
        <v>0</v>
      </c>
      <c r="D19" s="311">
        <f>IF($B7&lt;&gt;" ",$B7," ")</f>
        <v>0</v>
      </c>
      <c r="E19" s="311">
        <f>IF($B8&lt;&gt;" ",$B8," ")</f>
        <v>0</v>
      </c>
      <c r="F19" s="311">
        <f>IF($B9&lt;&gt;" ",$B9," ")</f>
        <v>0</v>
      </c>
      <c r="G19" s="311">
        <f>IF($B10&lt;&gt;" ",$B10,"  ")</f>
        <v>0</v>
      </c>
      <c r="H19" s="271"/>
      <c r="I19" s="311">
        <f>IF($B6&lt;&gt;" ",$B6," ")</f>
        <v>0</v>
      </c>
      <c r="J19" s="311">
        <f>IF($B7&lt;&gt;" ",$B7," ")</f>
        <v>0</v>
      </c>
      <c r="K19" s="311">
        <f>IF($B8&lt;&gt;" ",$B8," ")</f>
        <v>0</v>
      </c>
      <c r="L19" s="311">
        <f>IF($B9&lt;&gt;" ",$B9," ")</f>
        <v>0</v>
      </c>
      <c r="M19" s="311">
        <f>IF($B10&lt;&gt;" ",$B10,"  ")</f>
        <v>0</v>
      </c>
      <c r="N19" s="311">
        <f>IF($B6&lt;&gt;" ",$B6," ")</f>
        <v>0</v>
      </c>
      <c r="O19" s="311">
        <f>IF($B7&lt;&gt;" ",$B7," ")</f>
        <v>0</v>
      </c>
      <c r="P19" s="311">
        <f>IF($B8&lt;&gt;" ",$B8," ")</f>
        <v>0</v>
      </c>
      <c r="Q19" s="311">
        <f>IF($B9&lt;&gt;" ",$B9," ")</f>
        <v>0</v>
      </c>
      <c r="R19" s="311">
        <f>IF($B10&lt;&gt;" ",$B10,"  ")</f>
        <v>0</v>
      </c>
      <c r="S19" s="271"/>
      <c r="T19" s="311" t="s">
        <v>205</v>
      </c>
      <c r="U19" s="315" t="s">
        <v>206</v>
      </c>
    </row>
    <row r="20" spans="1:40" ht="30.6" customHeight="1" x14ac:dyDescent="0.25">
      <c r="A20" s="280"/>
      <c r="B20" s="312" t="s">
        <v>207</v>
      </c>
      <c r="C20" s="312" t="s">
        <v>208</v>
      </c>
      <c r="D20" s="312" t="s">
        <v>208</v>
      </c>
      <c r="E20" s="312" t="s">
        <v>208</v>
      </c>
      <c r="F20" s="312" t="s">
        <v>208</v>
      </c>
      <c r="G20" s="312" t="s">
        <v>208</v>
      </c>
      <c r="H20" s="312" t="s">
        <v>209</v>
      </c>
      <c r="I20" s="312" t="s">
        <v>210</v>
      </c>
      <c r="J20" s="312" t="s">
        <v>210</v>
      </c>
      <c r="K20" s="312" t="s">
        <v>210</v>
      </c>
      <c r="L20" s="312" t="s">
        <v>210</v>
      </c>
      <c r="M20" s="312" t="s">
        <v>210</v>
      </c>
      <c r="N20" s="312" t="s">
        <v>211</v>
      </c>
      <c r="O20" s="312" t="s">
        <v>211</v>
      </c>
      <c r="P20" s="312" t="s">
        <v>211</v>
      </c>
      <c r="Q20" s="312" t="s">
        <v>211</v>
      </c>
      <c r="R20" s="312" t="s">
        <v>211</v>
      </c>
      <c r="S20" s="312" t="s">
        <v>212</v>
      </c>
      <c r="T20" s="312" t="s">
        <v>213</v>
      </c>
      <c r="U20" s="381" t="s">
        <v>214</v>
      </c>
      <c r="W20" s="95"/>
      <c r="X20" s="95"/>
      <c r="Y20" s="95"/>
      <c r="Z20" s="95"/>
      <c r="AA20" s="95"/>
      <c r="AB20" s="95"/>
      <c r="AC20" s="95"/>
      <c r="AD20" s="95"/>
      <c r="AF20" s="95"/>
      <c r="AG20" s="95"/>
      <c r="AH20" s="95"/>
      <c r="AI20" s="95"/>
      <c r="AJ20" s="95"/>
      <c r="AK20" s="95"/>
      <c r="AL20" s="95"/>
      <c r="AM20" s="95"/>
      <c r="AN20" s="95"/>
    </row>
    <row r="21" spans="1:40" x14ac:dyDescent="0.25">
      <c r="A21" s="549" t="s">
        <v>215</v>
      </c>
      <c r="B21" s="124" t="s">
        <v>216</v>
      </c>
      <c r="C21" s="126"/>
      <c r="D21" s="127"/>
      <c r="E21" s="128"/>
      <c r="F21" s="128"/>
      <c r="G21" s="128"/>
      <c r="H21" s="382" t="str">
        <f>IF(OR(C21&gt;0,D21&gt;0,E21&gt;0,F21&gt;0,G21&gt;0),'Lookup Table'!Y10*SUM(C21:G21)," ")</f>
        <v xml:space="preserve"> </v>
      </c>
      <c r="I21" s="116">
        <v>5000</v>
      </c>
      <c r="J21" s="116">
        <v>8651</v>
      </c>
      <c r="K21" s="116">
        <v>18000</v>
      </c>
      <c r="L21" s="116">
        <v>10000</v>
      </c>
      <c r="M21" s="116">
        <v>0</v>
      </c>
      <c r="N21" s="383">
        <f>IF(I21&gt;0,'Lookup Table'!$Y10+I21,0)</f>
        <v>37500</v>
      </c>
      <c r="O21" s="383">
        <f>IF(J21&gt;0,'Lookup Table'!$Y10+J21,0)</f>
        <v>41151</v>
      </c>
      <c r="P21" s="383">
        <f>IF(K21&gt;0,'Lookup Table'!$Y10+K21,0)</f>
        <v>50500</v>
      </c>
      <c r="Q21" s="383">
        <f>IF(L21&gt;0,'Lookup Table'!$Y10+L21,0)</f>
        <v>42500</v>
      </c>
      <c r="R21" s="383">
        <f>IF(M21&gt;0,'Lookup Table'!$Y10+M21,0)</f>
        <v>0</v>
      </c>
      <c r="S21" s="383">
        <f>IFERROR((C21*N21)+(D21*O21)+(E21*P21)+(F21*Q21)+(G21*R21),0)</f>
        <v>0</v>
      </c>
      <c r="T21" s="383">
        <f t="shared" ref="T21:T26" si="0">IFERROR(S21-H21,0)</f>
        <v>0</v>
      </c>
      <c r="U21" s="384" t="str">
        <f t="shared" ref="U21:U48" si="1">IFERROR(T21/H21," ")</f>
        <v xml:space="preserve"> </v>
      </c>
      <c r="W21" s="40"/>
    </row>
    <row r="22" spans="1:40" x14ac:dyDescent="0.25">
      <c r="A22" s="549"/>
      <c r="B22" s="125" t="s">
        <v>217</v>
      </c>
      <c r="C22" s="129"/>
      <c r="D22" s="128"/>
      <c r="E22" s="128"/>
      <c r="F22" s="128"/>
      <c r="G22" s="128"/>
      <c r="H22" s="382" t="str">
        <f>IF(OR(C22&gt;0,D22&gt;0,E22&gt;0,F22&gt;0,G22&gt;0),'Lookup Table'!Y11*SUM(C22:G22)," ")</f>
        <v xml:space="preserve"> </v>
      </c>
      <c r="I22" s="383">
        <f>IF($H22&gt;0,I21,0)</f>
        <v>5000</v>
      </c>
      <c r="J22" s="383">
        <f t="shared" ref="J22:M22" si="2">IF($H21&gt;0,J21,0)</f>
        <v>8651</v>
      </c>
      <c r="K22" s="383">
        <f t="shared" si="2"/>
        <v>18000</v>
      </c>
      <c r="L22" s="383">
        <f t="shared" si="2"/>
        <v>10000</v>
      </c>
      <c r="M22" s="383">
        <f t="shared" si="2"/>
        <v>0</v>
      </c>
      <c r="N22" s="383">
        <f>IF(I22&gt;0,'Lookup Table'!$Y11+I22,0)</f>
        <v>42500.5</v>
      </c>
      <c r="O22" s="383">
        <f>IF(J22&gt;0,'Lookup Table'!$Y11+J22,0)</f>
        <v>46151.5</v>
      </c>
      <c r="P22" s="383">
        <f>IF(K22&gt;0,'Lookup Table'!$Y11+K22,0)</f>
        <v>55500.5</v>
      </c>
      <c r="Q22" s="383">
        <f>IF(L22&gt;0,'Lookup Table'!$Y11+L22,0)</f>
        <v>47500.5</v>
      </c>
      <c r="R22" s="383">
        <f>IF(M22&gt;0,'Lookup Table'!$Y11+M22,0)</f>
        <v>0</v>
      </c>
      <c r="S22" s="383">
        <f t="shared" ref="S22:S48" si="3">IFERROR((C22*N22)+(D22*O22)+(E22*P22)+(F22*Q22)+(G22*R22),0)</f>
        <v>0</v>
      </c>
      <c r="T22" s="383">
        <f t="shared" si="0"/>
        <v>0</v>
      </c>
      <c r="U22" s="384" t="str">
        <f t="shared" si="1"/>
        <v xml:space="preserve"> </v>
      </c>
      <c r="W22" s="40"/>
    </row>
    <row r="23" spans="1:40" x14ac:dyDescent="0.25">
      <c r="A23" s="549"/>
      <c r="B23" s="125" t="s">
        <v>218</v>
      </c>
      <c r="C23" s="129"/>
      <c r="D23" s="128"/>
      <c r="E23" s="128"/>
      <c r="F23" s="128"/>
      <c r="G23" s="128"/>
      <c r="H23" s="382" t="str">
        <f>IF(OR(C23&gt;0,D23&gt;0,E23&gt;0,F23&gt;0,G23&gt;0),'Lookup Table'!Y12*SUM(C23:G23)," ")</f>
        <v xml:space="preserve"> </v>
      </c>
      <c r="I23" s="383">
        <f t="shared" ref="I23:I26" si="4">IF($H23&gt;0,I22,0)</f>
        <v>5000</v>
      </c>
      <c r="J23" s="383">
        <f t="shared" ref="J23:J48" si="5">IF($H23&gt;0,J22,0)</f>
        <v>8651</v>
      </c>
      <c r="K23" s="383">
        <f t="shared" ref="K23:K48" si="6">IF($H23&gt;0,K22,0)</f>
        <v>18000</v>
      </c>
      <c r="L23" s="383">
        <f t="shared" ref="L23:L48" si="7">IF($H23&gt;0,L22,0)</f>
        <v>10000</v>
      </c>
      <c r="M23" s="383">
        <f t="shared" ref="M23:M48" si="8">IF($H23&gt;0,M22,0)</f>
        <v>0</v>
      </c>
      <c r="N23" s="383">
        <f>IF(I23&gt;0,'Lookup Table'!$Y12+I23,0)</f>
        <v>47500.5</v>
      </c>
      <c r="O23" s="383">
        <f>IF(J23&gt;0,'Lookup Table'!$Y12+J23,0)</f>
        <v>51151.5</v>
      </c>
      <c r="P23" s="383">
        <f>IF(K23&gt;0,'Lookup Table'!$Y12+K23,0)</f>
        <v>60500.5</v>
      </c>
      <c r="Q23" s="383">
        <f>IF(L23&gt;0,'Lookup Table'!$Y12+L23,0)</f>
        <v>52500.5</v>
      </c>
      <c r="R23" s="383">
        <f>IF(M23&gt;0,'Lookup Table'!$Y12+M23,0)</f>
        <v>0</v>
      </c>
      <c r="S23" s="383">
        <f t="shared" si="3"/>
        <v>0</v>
      </c>
      <c r="T23" s="383">
        <f t="shared" si="0"/>
        <v>0</v>
      </c>
      <c r="U23" s="384" t="str">
        <f t="shared" si="1"/>
        <v xml:space="preserve"> </v>
      </c>
    </row>
    <row r="24" spans="1:40" x14ac:dyDescent="0.25">
      <c r="A24" s="549"/>
      <c r="B24" s="125" t="s">
        <v>219</v>
      </c>
      <c r="C24" s="129"/>
      <c r="D24" s="128"/>
      <c r="E24" s="128"/>
      <c r="F24" s="128"/>
      <c r="G24" s="128"/>
      <c r="H24" s="382" t="str">
        <f>IF(OR(C24&gt;0,D24&gt;0,E24&gt;0,F24&gt;0,G24&gt;0),'Lookup Table'!Y13*SUM(C24:G24)," ")</f>
        <v xml:space="preserve"> </v>
      </c>
      <c r="I24" s="383">
        <f t="shared" si="4"/>
        <v>5000</v>
      </c>
      <c r="J24" s="383">
        <f t="shared" si="5"/>
        <v>8651</v>
      </c>
      <c r="K24" s="383">
        <f t="shared" si="6"/>
        <v>18000</v>
      </c>
      <c r="L24" s="383">
        <f t="shared" si="7"/>
        <v>10000</v>
      </c>
      <c r="M24" s="383">
        <f t="shared" si="8"/>
        <v>0</v>
      </c>
      <c r="N24" s="383">
        <f>IF(I24&gt;0,'Lookup Table'!$Y13+I24,0)</f>
        <v>52500.5</v>
      </c>
      <c r="O24" s="383">
        <f>IF(J24&gt;0,'Lookup Table'!$Y13+J24,0)</f>
        <v>56151.5</v>
      </c>
      <c r="P24" s="383">
        <f>IF(K24&gt;0,'Lookup Table'!$Y13+K24,0)</f>
        <v>65500.5</v>
      </c>
      <c r="Q24" s="383">
        <f>IF(L24&gt;0,'Lookup Table'!$Y13+L24,0)</f>
        <v>57500.5</v>
      </c>
      <c r="R24" s="383">
        <f>IF(M24&gt;0,'Lookup Table'!$Y13+M24,0)</f>
        <v>0</v>
      </c>
      <c r="S24" s="383">
        <f t="shared" si="3"/>
        <v>0</v>
      </c>
      <c r="T24" s="383">
        <f t="shared" si="0"/>
        <v>0</v>
      </c>
      <c r="U24" s="384" t="str">
        <f t="shared" si="1"/>
        <v xml:space="preserve"> </v>
      </c>
    </row>
    <row r="25" spans="1:40" x14ac:dyDescent="0.25">
      <c r="A25" s="549"/>
      <c r="B25" s="125" t="s">
        <v>220</v>
      </c>
      <c r="C25" s="129"/>
      <c r="D25" s="128"/>
      <c r="E25" s="128"/>
      <c r="F25" s="128"/>
      <c r="G25" s="128"/>
      <c r="H25" s="382" t="str">
        <f>IF(OR(C25&gt;0,D25&gt;0,E25&gt;0,F25&gt;0,G25&gt;0),'Lookup Table'!Y14*SUM(C25:G25)," ")</f>
        <v xml:space="preserve"> </v>
      </c>
      <c r="I25" s="383">
        <f t="shared" si="4"/>
        <v>5000</v>
      </c>
      <c r="J25" s="383">
        <f t="shared" si="5"/>
        <v>8651</v>
      </c>
      <c r="K25" s="383">
        <f t="shared" si="6"/>
        <v>18000</v>
      </c>
      <c r="L25" s="383">
        <f t="shared" si="7"/>
        <v>10000</v>
      </c>
      <c r="M25" s="383">
        <f t="shared" si="8"/>
        <v>0</v>
      </c>
      <c r="N25" s="383">
        <f>IF(I25&gt;0,'Lookup Table'!$Y14+I25,0)</f>
        <v>57500.5</v>
      </c>
      <c r="O25" s="383">
        <f>IF(J25&gt;0,'Lookup Table'!$Y14+J25,0)</f>
        <v>61151.5</v>
      </c>
      <c r="P25" s="383">
        <f>IF(K25&gt;0,'Lookup Table'!$Y14+K25,0)</f>
        <v>70500.5</v>
      </c>
      <c r="Q25" s="383">
        <f>IF(L25&gt;0,'Lookup Table'!$Y14+L25,0)</f>
        <v>62500.5</v>
      </c>
      <c r="R25" s="383">
        <f>IF(M25&gt;0,'Lookup Table'!$Y14+M25,0)</f>
        <v>0</v>
      </c>
      <c r="S25" s="383">
        <f t="shared" si="3"/>
        <v>0</v>
      </c>
      <c r="T25" s="383">
        <f t="shared" si="0"/>
        <v>0</v>
      </c>
      <c r="U25" s="384" t="str">
        <f t="shared" si="1"/>
        <v xml:space="preserve"> </v>
      </c>
      <c r="W25" s="5"/>
    </row>
    <row r="26" spans="1:40" x14ac:dyDescent="0.25">
      <c r="A26" s="549"/>
      <c r="B26" s="125" t="s">
        <v>221</v>
      </c>
      <c r="C26" s="129"/>
      <c r="D26" s="128"/>
      <c r="E26" s="128"/>
      <c r="F26" s="128"/>
      <c r="G26" s="128"/>
      <c r="H26" s="382" t="str">
        <f>IF(OR(C26&gt;0,D26&gt;0,E26&gt;0,F26&gt;0,G26&gt;0),'Lookup Table'!Y15*SUM(C26:G26)," ")</f>
        <v xml:space="preserve"> </v>
      </c>
      <c r="I26" s="383">
        <f t="shared" si="4"/>
        <v>5000</v>
      </c>
      <c r="J26" s="383">
        <f t="shared" si="5"/>
        <v>8651</v>
      </c>
      <c r="K26" s="383">
        <f t="shared" si="6"/>
        <v>18000</v>
      </c>
      <c r="L26" s="383">
        <f t="shared" si="7"/>
        <v>10000</v>
      </c>
      <c r="M26" s="383">
        <f t="shared" si="8"/>
        <v>0</v>
      </c>
      <c r="N26" s="383">
        <f>IF(I26&gt;0,'Lookup Table'!$Y15+I26,0)</f>
        <v>62500.5</v>
      </c>
      <c r="O26" s="383">
        <f>IF(J26&gt;0,'Lookup Table'!$Y15+J26,0)</f>
        <v>66151.5</v>
      </c>
      <c r="P26" s="383">
        <f>IF(K26&gt;0,'Lookup Table'!$Y15+K26,0)</f>
        <v>75500.5</v>
      </c>
      <c r="Q26" s="383">
        <f>IF(L26&gt;0,'Lookup Table'!$Y15+L26,0)</f>
        <v>67500.5</v>
      </c>
      <c r="R26" s="383">
        <f>IF(M26&gt;0,'Lookup Table'!$Y15+M26,0)</f>
        <v>0</v>
      </c>
      <c r="S26" s="383">
        <f t="shared" si="3"/>
        <v>0</v>
      </c>
      <c r="T26" s="383">
        <f t="shared" si="0"/>
        <v>0</v>
      </c>
      <c r="U26" s="384" t="str">
        <f t="shared" si="1"/>
        <v xml:space="preserve"> </v>
      </c>
    </row>
    <row r="27" spans="1:40" x14ac:dyDescent="0.25">
      <c r="A27" s="549"/>
      <c r="B27" s="125" t="s">
        <v>222</v>
      </c>
      <c r="C27" s="129"/>
      <c r="D27" s="128"/>
      <c r="E27" s="128"/>
      <c r="F27" s="128"/>
      <c r="G27" s="128"/>
      <c r="H27" s="382" t="str">
        <f>IF(OR(C27&gt;0,D27&gt;0,E27&gt;0,F27&gt;0,G27&gt;0),'Lookup Table'!Y16*SUM(C27:G27)," ")</f>
        <v xml:space="preserve"> </v>
      </c>
      <c r="I27" s="383">
        <f>IF($H27&gt;0,I26,0)</f>
        <v>5000</v>
      </c>
      <c r="J27" s="383">
        <f t="shared" si="5"/>
        <v>8651</v>
      </c>
      <c r="K27" s="383">
        <f t="shared" si="6"/>
        <v>18000</v>
      </c>
      <c r="L27" s="383">
        <f t="shared" si="7"/>
        <v>10000</v>
      </c>
      <c r="M27" s="383">
        <f t="shared" si="8"/>
        <v>0</v>
      </c>
      <c r="N27" s="383">
        <f>IF(I27&gt;0,'Lookup Table'!$Y16+I27,0)</f>
        <v>67500.5</v>
      </c>
      <c r="O27" s="383">
        <f>IF(J27&gt;0,'Lookup Table'!$Y16+J27,0)</f>
        <v>71151.5</v>
      </c>
      <c r="P27" s="383">
        <f>IF(K27&gt;0,'Lookup Table'!$Y16+K27,0)</f>
        <v>80500.5</v>
      </c>
      <c r="Q27" s="383">
        <f>IF(L27&gt;0,'Lookup Table'!$Y16+L27,0)</f>
        <v>72500.5</v>
      </c>
      <c r="R27" s="383">
        <f>IF(M27&gt;0,'Lookup Table'!$Y16+M27,0)</f>
        <v>0</v>
      </c>
      <c r="S27" s="383">
        <f t="shared" si="3"/>
        <v>0</v>
      </c>
      <c r="T27" s="383">
        <f>IFERROR(S27-H27,0)</f>
        <v>0</v>
      </c>
      <c r="U27" s="384" t="str">
        <f t="shared" si="1"/>
        <v xml:space="preserve"> </v>
      </c>
    </row>
    <row r="28" spans="1:40" x14ac:dyDescent="0.25">
      <c r="A28" s="549"/>
      <c r="B28" s="125" t="s">
        <v>223</v>
      </c>
      <c r="C28" s="129"/>
      <c r="D28" s="128"/>
      <c r="E28" s="128"/>
      <c r="F28" s="128"/>
      <c r="G28" s="128"/>
      <c r="H28" s="382" t="str">
        <f>IF(OR(C28&gt;0,D28&gt;0,E28&gt;0,F28&gt;0,G28&gt;0),'Lookup Table'!Y17*SUM(C28:G28)," ")</f>
        <v xml:space="preserve"> </v>
      </c>
      <c r="I28" s="383">
        <f t="shared" ref="I28:I48" si="9">IF($H28&gt;0,I27,0)</f>
        <v>5000</v>
      </c>
      <c r="J28" s="383">
        <f t="shared" si="5"/>
        <v>8651</v>
      </c>
      <c r="K28" s="383">
        <f t="shared" si="6"/>
        <v>18000</v>
      </c>
      <c r="L28" s="383">
        <f t="shared" si="7"/>
        <v>10000</v>
      </c>
      <c r="M28" s="383">
        <f t="shared" si="8"/>
        <v>0</v>
      </c>
      <c r="N28" s="383">
        <f>IF(I28&gt;0,'Lookup Table'!$Y17+I28,0)</f>
        <v>72500.5</v>
      </c>
      <c r="O28" s="383">
        <f>IF(J28&gt;0,'Lookup Table'!$Y17+J28,0)</f>
        <v>76151.5</v>
      </c>
      <c r="P28" s="383">
        <f>IF(K28&gt;0,'Lookup Table'!$Y17+K28,0)</f>
        <v>85500.5</v>
      </c>
      <c r="Q28" s="383">
        <f>IF(L28&gt;0,'Lookup Table'!$Y17+L28,0)</f>
        <v>77500.5</v>
      </c>
      <c r="R28" s="383">
        <f>IF(M28&gt;0,'Lookup Table'!$Y17+M28,0)</f>
        <v>0</v>
      </c>
      <c r="S28" s="383">
        <f t="shared" si="3"/>
        <v>0</v>
      </c>
      <c r="T28" s="383">
        <f t="shared" ref="T28:T48" si="10">IFERROR(S28-H28,0)</f>
        <v>0</v>
      </c>
      <c r="U28" s="384" t="str">
        <f t="shared" si="1"/>
        <v xml:space="preserve"> </v>
      </c>
    </row>
    <row r="29" spans="1:40" x14ac:dyDescent="0.25">
      <c r="A29" s="549"/>
      <c r="B29" s="125" t="s">
        <v>224</v>
      </c>
      <c r="C29" s="129"/>
      <c r="D29" s="128"/>
      <c r="E29" s="128"/>
      <c r="F29" s="128"/>
      <c r="G29" s="128"/>
      <c r="H29" s="382" t="str">
        <f>IF(OR(C29&gt;0,D29&gt;0,E29&gt;0,F29&gt;0,G29&gt;0),'Lookup Table'!Y18*SUM(C29:G29)," ")</f>
        <v xml:space="preserve"> </v>
      </c>
      <c r="I29" s="383">
        <f t="shared" si="9"/>
        <v>5000</v>
      </c>
      <c r="J29" s="383">
        <f t="shared" si="5"/>
        <v>8651</v>
      </c>
      <c r="K29" s="383">
        <f t="shared" si="6"/>
        <v>18000</v>
      </c>
      <c r="L29" s="383">
        <f t="shared" si="7"/>
        <v>10000</v>
      </c>
      <c r="M29" s="383">
        <f t="shared" si="8"/>
        <v>0</v>
      </c>
      <c r="N29" s="383">
        <f>IF(I29&gt;0,'Lookup Table'!$Y18+I29,0)</f>
        <v>77500.5</v>
      </c>
      <c r="O29" s="383">
        <f>IF(J29&gt;0,'Lookup Table'!$Y18+J29,0)</f>
        <v>81151.5</v>
      </c>
      <c r="P29" s="383">
        <f>IF(K29&gt;0,'Lookup Table'!$Y18+K29,0)</f>
        <v>90500.5</v>
      </c>
      <c r="Q29" s="383">
        <f>IF(L29&gt;0,'Lookup Table'!$Y18+L29,0)</f>
        <v>82500.5</v>
      </c>
      <c r="R29" s="383">
        <f>IF(M29&gt;0,'Lookup Table'!$Y18+M29,0)</f>
        <v>0</v>
      </c>
      <c r="S29" s="383">
        <f t="shared" si="3"/>
        <v>0</v>
      </c>
      <c r="T29" s="383">
        <f t="shared" si="10"/>
        <v>0</v>
      </c>
      <c r="U29" s="384" t="str">
        <f t="shared" si="1"/>
        <v xml:space="preserve"> </v>
      </c>
    </row>
    <row r="30" spans="1:40" x14ac:dyDescent="0.25">
      <c r="A30" s="549"/>
      <c r="B30" s="125" t="s">
        <v>225</v>
      </c>
      <c r="C30" s="129"/>
      <c r="D30" s="128"/>
      <c r="E30" s="128"/>
      <c r="F30" s="128"/>
      <c r="G30" s="128"/>
      <c r="H30" s="382" t="str">
        <f>IF(OR(C30&gt;0,D30&gt;0,E30&gt;0,F30&gt;0,G30&gt;0),'Lookup Table'!Y19*SUM(C30:G30)," ")</f>
        <v xml:space="preserve"> </v>
      </c>
      <c r="I30" s="383">
        <f t="shared" si="9"/>
        <v>5000</v>
      </c>
      <c r="J30" s="383">
        <f t="shared" si="5"/>
        <v>8651</v>
      </c>
      <c r="K30" s="383">
        <f t="shared" si="6"/>
        <v>18000</v>
      </c>
      <c r="L30" s="383">
        <f t="shared" si="7"/>
        <v>10000</v>
      </c>
      <c r="M30" s="383">
        <f t="shared" si="8"/>
        <v>0</v>
      </c>
      <c r="N30" s="383">
        <f>IF(I30&gt;0,'Lookup Table'!$Y19+I30,0)</f>
        <v>82500.5</v>
      </c>
      <c r="O30" s="383">
        <f>IF(J30&gt;0,'Lookup Table'!$Y19+J30,0)</f>
        <v>86151.5</v>
      </c>
      <c r="P30" s="383">
        <f>IF(K30&gt;0,'Lookup Table'!$Y19+K30,0)</f>
        <v>95500.5</v>
      </c>
      <c r="Q30" s="383">
        <f>IF(L30&gt;0,'Lookup Table'!$Y19+L30,0)</f>
        <v>87500.5</v>
      </c>
      <c r="R30" s="383">
        <f>IF(M30&gt;0,'Lookup Table'!$Y19+M30,0)</f>
        <v>0</v>
      </c>
      <c r="S30" s="383">
        <f t="shared" si="3"/>
        <v>0</v>
      </c>
      <c r="T30" s="383">
        <f t="shared" si="10"/>
        <v>0</v>
      </c>
      <c r="U30" s="384" t="str">
        <f t="shared" si="1"/>
        <v xml:space="preserve"> </v>
      </c>
      <c r="W30" s="101"/>
    </row>
    <row r="31" spans="1:40" x14ac:dyDescent="0.25">
      <c r="A31" s="549"/>
      <c r="B31" s="125" t="s">
        <v>226</v>
      </c>
      <c r="C31" s="129"/>
      <c r="D31" s="128"/>
      <c r="E31" s="128"/>
      <c r="F31" s="128"/>
      <c r="G31" s="128"/>
      <c r="H31" s="382" t="str">
        <f>IF(OR(C31&gt;0,D31&gt;0,E31&gt;0,F31&gt;0,G31&gt;0),'Lookup Table'!Y20*SUM(C31:G31)," ")</f>
        <v xml:space="preserve"> </v>
      </c>
      <c r="I31" s="383">
        <f t="shared" si="9"/>
        <v>5000</v>
      </c>
      <c r="J31" s="383">
        <f t="shared" si="5"/>
        <v>8651</v>
      </c>
      <c r="K31" s="383">
        <f t="shared" si="6"/>
        <v>18000</v>
      </c>
      <c r="L31" s="383">
        <f t="shared" si="7"/>
        <v>10000</v>
      </c>
      <c r="M31" s="383">
        <f t="shared" si="8"/>
        <v>0</v>
      </c>
      <c r="N31" s="383">
        <f>IF(I31&gt;0,'Lookup Table'!$Y20+I31,0)</f>
        <v>87500.5</v>
      </c>
      <c r="O31" s="383">
        <f>IF(J31&gt;0,'Lookup Table'!$Y20+J31,0)</f>
        <v>91151.5</v>
      </c>
      <c r="P31" s="383">
        <f>IF(K31&gt;0,'Lookup Table'!$Y20+K31,0)</f>
        <v>100500.5</v>
      </c>
      <c r="Q31" s="383">
        <f>IF(L31&gt;0,'Lookup Table'!$Y20+L31,0)</f>
        <v>92500.5</v>
      </c>
      <c r="R31" s="383">
        <f>IF(M31&gt;0,'Lookup Table'!$Y20+M31,0)</f>
        <v>0</v>
      </c>
      <c r="S31" s="383">
        <f t="shared" si="3"/>
        <v>0</v>
      </c>
      <c r="T31" s="383">
        <f t="shared" si="10"/>
        <v>0</v>
      </c>
      <c r="U31" s="384" t="str">
        <f t="shared" si="1"/>
        <v xml:space="preserve"> </v>
      </c>
    </row>
    <row r="32" spans="1:40" x14ac:dyDescent="0.25">
      <c r="A32" s="549"/>
      <c r="B32" s="125" t="s">
        <v>227</v>
      </c>
      <c r="C32" s="129"/>
      <c r="D32" s="128"/>
      <c r="E32" s="128"/>
      <c r="F32" s="128"/>
      <c r="G32" s="128"/>
      <c r="H32" s="382" t="str">
        <f>IF(OR(C32&gt;0,D32&gt;0,E32&gt;0,F32&gt;0,G32&gt;0),'Lookup Table'!Y21*SUM(C32:G32)," ")</f>
        <v xml:space="preserve"> </v>
      </c>
      <c r="I32" s="383">
        <f t="shared" si="9"/>
        <v>5000</v>
      </c>
      <c r="J32" s="383">
        <f t="shared" si="5"/>
        <v>8651</v>
      </c>
      <c r="K32" s="383">
        <f t="shared" si="6"/>
        <v>18000</v>
      </c>
      <c r="L32" s="383">
        <f t="shared" si="7"/>
        <v>10000</v>
      </c>
      <c r="M32" s="383">
        <f t="shared" si="8"/>
        <v>0</v>
      </c>
      <c r="N32" s="383">
        <f>IF(I32&gt;0,'Lookup Table'!$Y21+I32,0)</f>
        <v>92500.5</v>
      </c>
      <c r="O32" s="383">
        <f>IF(J32&gt;0,'Lookup Table'!$Y21+J32,0)</f>
        <v>96151.5</v>
      </c>
      <c r="P32" s="383">
        <f>IF(K32&gt;0,'Lookup Table'!$Y21+K32,0)</f>
        <v>105500.5</v>
      </c>
      <c r="Q32" s="383">
        <f>IF(L32&gt;0,'Lookup Table'!$Y21+L32,0)</f>
        <v>97500.5</v>
      </c>
      <c r="R32" s="383">
        <f>IF(M32&gt;0,'Lookup Table'!$Y21+M32,0)</f>
        <v>0</v>
      </c>
      <c r="S32" s="383">
        <f t="shared" si="3"/>
        <v>0</v>
      </c>
      <c r="T32" s="383">
        <f t="shared" si="10"/>
        <v>0</v>
      </c>
      <c r="U32" s="384" t="str">
        <f t="shared" si="1"/>
        <v xml:space="preserve"> </v>
      </c>
    </row>
    <row r="33" spans="1:21" x14ac:dyDescent="0.25">
      <c r="A33" s="549"/>
      <c r="B33" s="125" t="s">
        <v>228</v>
      </c>
      <c r="C33" s="129"/>
      <c r="D33" s="128"/>
      <c r="E33" s="128"/>
      <c r="F33" s="128"/>
      <c r="G33" s="128"/>
      <c r="H33" s="382" t="str">
        <f>IF(OR(C33&gt;0,D33&gt;0,E33&gt;0,F33&gt;0,G33&gt;0),'Lookup Table'!Y22*SUM(C33:G33)," ")</f>
        <v xml:space="preserve"> </v>
      </c>
      <c r="I33" s="383">
        <f t="shared" si="9"/>
        <v>5000</v>
      </c>
      <c r="J33" s="383">
        <f t="shared" si="5"/>
        <v>8651</v>
      </c>
      <c r="K33" s="383">
        <f t="shared" si="6"/>
        <v>18000</v>
      </c>
      <c r="L33" s="383">
        <f t="shared" si="7"/>
        <v>10000</v>
      </c>
      <c r="M33" s="383">
        <f t="shared" si="8"/>
        <v>0</v>
      </c>
      <c r="N33" s="383">
        <f>IF(I33&gt;0,'Lookup Table'!$Y22+I33,0)</f>
        <v>97500.5</v>
      </c>
      <c r="O33" s="383">
        <f>IF(J33&gt;0,'Lookup Table'!$Y22+J33,0)</f>
        <v>101151.5</v>
      </c>
      <c r="P33" s="383">
        <f>IF(K33&gt;0,'Lookup Table'!$Y22+K33,0)</f>
        <v>110500.5</v>
      </c>
      <c r="Q33" s="383">
        <f>IF(L33&gt;0,'Lookup Table'!$Y22+L33,0)</f>
        <v>102500.5</v>
      </c>
      <c r="R33" s="383">
        <f>IF(M33&gt;0,'Lookup Table'!$Y22+M33,0)</f>
        <v>0</v>
      </c>
      <c r="S33" s="383">
        <f t="shared" si="3"/>
        <v>0</v>
      </c>
      <c r="T33" s="383">
        <f t="shared" si="10"/>
        <v>0</v>
      </c>
      <c r="U33" s="384" t="str">
        <f t="shared" si="1"/>
        <v xml:space="preserve"> </v>
      </c>
    </row>
    <row r="34" spans="1:21" x14ac:dyDescent="0.25">
      <c r="A34" s="549"/>
      <c r="B34" s="125" t="s">
        <v>229</v>
      </c>
      <c r="C34" s="129"/>
      <c r="D34" s="128"/>
      <c r="E34" s="128"/>
      <c r="F34" s="128"/>
      <c r="G34" s="128"/>
      <c r="H34" s="382" t="str">
        <f>IF(OR(C34&gt;0,D34&gt;0,E34&gt;0,F34&gt;0,G34&gt;0),'Lookup Table'!Y23*SUM(C34:G34)," ")</f>
        <v xml:space="preserve"> </v>
      </c>
      <c r="I34" s="383">
        <f t="shared" si="9"/>
        <v>5000</v>
      </c>
      <c r="J34" s="383">
        <f t="shared" si="5"/>
        <v>8651</v>
      </c>
      <c r="K34" s="383">
        <f t="shared" si="6"/>
        <v>18000</v>
      </c>
      <c r="L34" s="383">
        <f t="shared" si="7"/>
        <v>10000</v>
      </c>
      <c r="M34" s="383">
        <f t="shared" si="8"/>
        <v>0</v>
      </c>
      <c r="N34" s="383">
        <f>IF(I34&gt;0,'Lookup Table'!$Y23+I34,0)</f>
        <v>102500.5</v>
      </c>
      <c r="O34" s="383">
        <f>IF(J34&gt;0,'Lookup Table'!$Y23+J34,0)</f>
        <v>106151.5</v>
      </c>
      <c r="P34" s="383">
        <f>IF(K34&gt;0,'Lookup Table'!$Y23+K34,0)</f>
        <v>115500.5</v>
      </c>
      <c r="Q34" s="383">
        <f>IF(L34&gt;0,'Lookup Table'!$Y23+L34,0)</f>
        <v>107500.5</v>
      </c>
      <c r="R34" s="383">
        <f>IF(M34&gt;0,'Lookup Table'!$Y23+M34,0)</f>
        <v>0</v>
      </c>
      <c r="S34" s="383">
        <f t="shared" si="3"/>
        <v>0</v>
      </c>
      <c r="T34" s="383">
        <f t="shared" si="10"/>
        <v>0</v>
      </c>
      <c r="U34" s="384" t="str">
        <f t="shared" si="1"/>
        <v xml:space="preserve"> </v>
      </c>
    </row>
    <row r="35" spans="1:21" x14ac:dyDescent="0.25">
      <c r="A35" s="549"/>
      <c r="B35" s="125" t="s">
        <v>230</v>
      </c>
      <c r="C35" s="129"/>
      <c r="D35" s="128"/>
      <c r="E35" s="128"/>
      <c r="F35" s="128"/>
      <c r="G35" s="128"/>
      <c r="H35" s="382" t="str">
        <f>IF(OR(C35&gt;0,D35&gt;0,E35&gt;0,F35&gt;0,G35&gt;0),'Lookup Table'!Y24*SUM(C35:G35)," ")</f>
        <v xml:space="preserve"> </v>
      </c>
      <c r="I35" s="383">
        <f t="shared" si="9"/>
        <v>5000</v>
      </c>
      <c r="J35" s="383">
        <f t="shared" si="5"/>
        <v>8651</v>
      </c>
      <c r="K35" s="383">
        <f t="shared" si="6"/>
        <v>18000</v>
      </c>
      <c r="L35" s="383">
        <f t="shared" si="7"/>
        <v>10000</v>
      </c>
      <c r="M35" s="383">
        <f t="shared" si="8"/>
        <v>0</v>
      </c>
      <c r="N35" s="383">
        <f>IF(I35&gt;0,'Lookup Table'!$Y24+I35,0)</f>
        <v>107500.5</v>
      </c>
      <c r="O35" s="383">
        <f>IF(J35&gt;0,'Lookup Table'!$Y24+J35,0)</f>
        <v>111151.5</v>
      </c>
      <c r="P35" s="383">
        <f>IF(K35&gt;0,'Lookup Table'!$Y24+K35,0)</f>
        <v>120500.5</v>
      </c>
      <c r="Q35" s="383">
        <f>IF(L35&gt;0,'Lookup Table'!$Y24+L35,0)</f>
        <v>112500.5</v>
      </c>
      <c r="R35" s="383">
        <f>IF(M35&gt;0,'Lookup Table'!$Y24+M35,0)</f>
        <v>0</v>
      </c>
      <c r="S35" s="383">
        <f t="shared" si="3"/>
        <v>0</v>
      </c>
      <c r="T35" s="383">
        <f t="shared" si="10"/>
        <v>0</v>
      </c>
      <c r="U35" s="384" t="str">
        <f t="shared" si="1"/>
        <v xml:space="preserve"> </v>
      </c>
    </row>
    <row r="36" spans="1:21" x14ac:dyDescent="0.25">
      <c r="A36" s="549"/>
      <c r="B36" s="125" t="s">
        <v>231</v>
      </c>
      <c r="C36" s="129"/>
      <c r="D36" s="128"/>
      <c r="E36" s="128"/>
      <c r="F36" s="128"/>
      <c r="G36" s="128"/>
      <c r="H36" s="382" t="str">
        <f>IF(OR(C36&gt;0,D36&gt;0,E36&gt;0,F36&gt;0,G36&gt;0),'Lookup Table'!Y25*SUM(C36:G36)," ")</f>
        <v xml:space="preserve"> </v>
      </c>
      <c r="I36" s="383">
        <f t="shared" si="9"/>
        <v>5000</v>
      </c>
      <c r="J36" s="383">
        <f t="shared" si="5"/>
        <v>8651</v>
      </c>
      <c r="K36" s="383">
        <f t="shared" si="6"/>
        <v>18000</v>
      </c>
      <c r="L36" s="383">
        <f t="shared" si="7"/>
        <v>10000</v>
      </c>
      <c r="M36" s="383">
        <f t="shared" si="8"/>
        <v>0</v>
      </c>
      <c r="N36" s="383">
        <f>IF(I36&gt;0,'Lookup Table'!$Y25+I36,0)</f>
        <v>112500.5</v>
      </c>
      <c r="O36" s="383">
        <f>IF(J36&gt;0,'Lookup Table'!$Y25+J36,0)</f>
        <v>116151.5</v>
      </c>
      <c r="P36" s="383">
        <f>IF(K36&gt;0,'Lookup Table'!$Y25+K36,0)</f>
        <v>125500.5</v>
      </c>
      <c r="Q36" s="383">
        <f>IF(L36&gt;0,'Lookup Table'!$Y25+L36,0)</f>
        <v>117500.5</v>
      </c>
      <c r="R36" s="383">
        <f>IF(M36&gt;0,'Lookup Table'!$Y25+M36,0)</f>
        <v>0</v>
      </c>
      <c r="S36" s="383">
        <f t="shared" si="3"/>
        <v>0</v>
      </c>
      <c r="T36" s="383">
        <f t="shared" si="10"/>
        <v>0</v>
      </c>
      <c r="U36" s="384" t="str">
        <f t="shared" si="1"/>
        <v xml:space="preserve"> </v>
      </c>
    </row>
    <row r="37" spans="1:21" x14ac:dyDescent="0.25">
      <c r="A37" s="549"/>
      <c r="B37" s="125" t="s">
        <v>232</v>
      </c>
      <c r="C37" s="129"/>
      <c r="D37" s="128"/>
      <c r="E37" s="128"/>
      <c r="F37" s="128"/>
      <c r="G37" s="128"/>
      <c r="H37" s="382" t="str">
        <f>IF(OR(C37&gt;0,D37&gt;0,E37&gt;0,F37&gt;0,G37&gt;0),'Lookup Table'!Y26*SUM(C37:G37)," ")</f>
        <v xml:space="preserve"> </v>
      </c>
      <c r="I37" s="383">
        <f t="shared" si="9"/>
        <v>5000</v>
      </c>
      <c r="J37" s="383">
        <f t="shared" si="5"/>
        <v>8651</v>
      </c>
      <c r="K37" s="383">
        <f t="shared" si="6"/>
        <v>18000</v>
      </c>
      <c r="L37" s="383">
        <f t="shared" si="7"/>
        <v>10000</v>
      </c>
      <c r="M37" s="383">
        <f t="shared" si="8"/>
        <v>0</v>
      </c>
      <c r="N37" s="383">
        <f>IF(I37&gt;0,'Lookup Table'!$Y26+I37,0)</f>
        <v>117500.5</v>
      </c>
      <c r="O37" s="383">
        <f>IF(J37&gt;0,'Lookup Table'!$Y26+J37,0)</f>
        <v>121151.5</v>
      </c>
      <c r="P37" s="383">
        <f>IF(K37&gt;0,'Lookup Table'!$Y26+K37,0)</f>
        <v>130500.5</v>
      </c>
      <c r="Q37" s="383">
        <f>IF(L37&gt;0,'Lookup Table'!$Y26+L37,0)</f>
        <v>122500.5</v>
      </c>
      <c r="R37" s="383">
        <f>IF(M37&gt;0,'Lookup Table'!$Y26+M37,0)</f>
        <v>0</v>
      </c>
      <c r="S37" s="383">
        <f t="shared" si="3"/>
        <v>0</v>
      </c>
      <c r="T37" s="383">
        <f t="shared" si="10"/>
        <v>0</v>
      </c>
      <c r="U37" s="384" t="str">
        <f t="shared" si="1"/>
        <v xml:space="preserve"> </v>
      </c>
    </row>
    <row r="38" spans="1:21" x14ac:dyDescent="0.25">
      <c r="A38" s="549"/>
      <c r="B38" s="125" t="s">
        <v>233</v>
      </c>
      <c r="C38" s="129"/>
      <c r="D38" s="128"/>
      <c r="E38" s="128"/>
      <c r="F38" s="128"/>
      <c r="G38" s="128"/>
      <c r="H38" s="382" t="str">
        <f>IF(OR(C38&gt;0,D38&gt;0,E38&gt;0,F38&gt;0,G38&gt;0),'Lookup Table'!Y27*SUM(C38:G38)," ")</f>
        <v xml:space="preserve"> </v>
      </c>
      <c r="I38" s="383">
        <f t="shared" si="9"/>
        <v>5000</v>
      </c>
      <c r="J38" s="383">
        <f t="shared" si="5"/>
        <v>8651</v>
      </c>
      <c r="K38" s="383">
        <f t="shared" si="6"/>
        <v>18000</v>
      </c>
      <c r="L38" s="383">
        <f t="shared" si="7"/>
        <v>10000</v>
      </c>
      <c r="M38" s="383">
        <f t="shared" si="8"/>
        <v>0</v>
      </c>
      <c r="N38" s="383">
        <f>IF(I38&gt;0,'Lookup Table'!$Y27+I38,0)</f>
        <v>122500.5</v>
      </c>
      <c r="O38" s="383">
        <f>IF(J38&gt;0,'Lookup Table'!$Y27+J38,0)</f>
        <v>126151.5</v>
      </c>
      <c r="P38" s="383">
        <f>IF(K38&gt;0,'Lookup Table'!$Y27+K38,0)</f>
        <v>135500.5</v>
      </c>
      <c r="Q38" s="383">
        <f>IF(L38&gt;0,'Lookup Table'!$Y27+L38,0)</f>
        <v>127500.5</v>
      </c>
      <c r="R38" s="383">
        <f>IF(M38&gt;0,'Lookup Table'!$Y27+M38,0)</f>
        <v>0</v>
      </c>
      <c r="S38" s="383">
        <f t="shared" si="3"/>
        <v>0</v>
      </c>
      <c r="T38" s="383">
        <f t="shared" si="10"/>
        <v>0</v>
      </c>
      <c r="U38" s="384" t="str">
        <f t="shared" si="1"/>
        <v xml:space="preserve"> </v>
      </c>
    </row>
    <row r="39" spans="1:21" x14ac:dyDescent="0.25">
      <c r="A39" s="549"/>
      <c r="B39" s="125" t="s">
        <v>234</v>
      </c>
      <c r="C39" s="129"/>
      <c r="D39" s="128"/>
      <c r="E39" s="128"/>
      <c r="F39" s="128"/>
      <c r="G39" s="128"/>
      <c r="H39" s="382" t="str">
        <f>IF(OR(C39&gt;0,D39&gt;0,E39&gt;0,F39&gt;0,G39&gt;0),'Lookup Table'!Y28*SUM(C39:G39)," ")</f>
        <v xml:space="preserve"> </v>
      </c>
      <c r="I39" s="383">
        <f t="shared" si="9"/>
        <v>5000</v>
      </c>
      <c r="J39" s="383">
        <f t="shared" si="5"/>
        <v>8651</v>
      </c>
      <c r="K39" s="383">
        <f t="shared" si="6"/>
        <v>18000</v>
      </c>
      <c r="L39" s="383">
        <f t="shared" si="7"/>
        <v>10000</v>
      </c>
      <c r="M39" s="383">
        <f t="shared" si="8"/>
        <v>0</v>
      </c>
      <c r="N39" s="383">
        <f>IF(I39&gt;0,'Lookup Table'!$Y28+I39,0)</f>
        <v>127500.5</v>
      </c>
      <c r="O39" s="383">
        <f>IF(J39&gt;0,'Lookup Table'!$Y28+J39,0)</f>
        <v>131151.5</v>
      </c>
      <c r="P39" s="383">
        <f>IF(K39&gt;0,'Lookup Table'!$Y28+K39,0)</f>
        <v>140500.5</v>
      </c>
      <c r="Q39" s="383">
        <f>IF(L39&gt;0,'Lookup Table'!$Y28+L39,0)</f>
        <v>132500.5</v>
      </c>
      <c r="R39" s="383">
        <f>IF(M39&gt;0,'Lookup Table'!$Y28+M39,0)</f>
        <v>0</v>
      </c>
      <c r="S39" s="383">
        <f t="shared" si="3"/>
        <v>0</v>
      </c>
      <c r="T39" s="383">
        <f t="shared" si="10"/>
        <v>0</v>
      </c>
      <c r="U39" s="384" t="str">
        <f t="shared" si="1"/>
        <v xml:space="preserve"> </v>
      </c>
    </row>
    <row r="40" spans="1:21" x14ac:dyDescent="0.25">
      <c r="A40" s="549"/>
      <c r="B40" s="125" t="s">
        <v>235</v>
      </c>
      <c r="C40" s="129"/>
      <c r="D40" s="128"/>
      <c r="E40" s="128"/>
      <c r="F40" s="128"/>
      <c r="G40" s="128"/>
      <c r="H40" s="382" t="str">
        <f>IF(OR(C40&gt;0,D40&gt;0,E40&gt;0,F40&gt;0,G40&gt;0),'Lookup Table'!Y29*SUM(C40:G40)," ")</f>
        <v xml:space="preserve"> </v>
      </c>
      <c r="I40" s="383">
        <f t="shared" si="9"/>
        <v>5000</v>
      </c>
      <c r="J40" s="383">
        <f t="shared" si="5"/>
        <v>8651</v>
      </c>
      <c r="K40" s="383">
        <f t="shared" si="6"/>
        <v>18000</v>
      </c>
      <c r="L40" s="383">
        <f t="shared" si="7"/>
        <v>10000</v>
      </c>
      <c r="M40" s="383">
        <f t="shared" si="8"/>
        <v>0</v>
      </c>
      <c r="N40" s="383">
        <f>IF(I40&gt;0,'Lookup Table'!$Y29+I40,0)</f>
        <v>132500.5</v>
      </c>
      <c r="O40" s="383">
        <f>IF(J40&gt;0,'Lookup Table'!$Y29+J40,0)</f>
        <v>136151.5</v>
      </c>
      <c r="P40" s="383">
        <f>IF(K40&gt;0,'Lookup Table'!$Y29+K40,0)</f>
        <v>145500.5</v>
      </c>
      <c r="Q40" s="383">
        <f>IF(L40&gt;0,'Lookup Table'!$Y29+L40,0)</f>
        <v>137500.5</v>
      </c>
      <c r="R40" s="383">
        <f>IF(M40&gt;0,'Lookup Table'!$Y29+M40,0)</f>
        <v>0</v>
      </c>
      <c r="S40" s="383">
        <f t="shared" si="3"/>
        <v>0</v>
      </c>
      <c r="T40" s="383">
        <f t="shared" si="10"/>
        <v>0</v>
      </c>
      <c r="U40" s="384" t="str">
        <f t="shared" si="1"/>
        <v xml:space="preserve"> </v>
      </c>
    </row>
    <row r="41" spans="1:21" x14ac:dyDescent="0.25">
      <c r="A41" s="549"/>
      <c r="B41" s="125" t="s">
        <v>236</v>
      </c>
      <c r="C41" s="129"/>
      <c r="D41" s="128"/>
      <c r="E41" s="128"/>
      <c r="F41" s="128"/>
      <c r="G41" s="128"/>
      <c r="H41" s="382" t="str">
        <f>IF(OR(C41&gt;0,D41&gt;0,E41&gt;0,F41&gt;0,G41&gt;0),'Lookup Table'!Y30*SUM(C41:G41)," ")</f>
        <v xml:space="preserve"> </v>
      </c>
      <c r="I41" s="383">
        <f t="shared" si="9"/>
        <v>5000</v>
      </c>
      <c r="J41" s="383">
        <f t="shared" si="5"/>
        <v>8651</v>
      </c>
      <c r="K41" s="383">
        <f t="shared" si="6"/>
        <v>18000</v>
      </c>
      <c r="L41" s="383">
        <f t="shared" si="7"/>
        <v>10000</v>
      </c>
      <c r="M41" s="383">
        <f t="shared" si="8"/>
        <v>0</v>
      </c>
      <c r="N41" s="383">
        <f>IF(I41&gt;0,'Lookup Table'!$Y30+I41,0)</f>
        <v>137500.5</v>
      </c>
      <c r="O41" s="383">
        <f>IF(J41&gt;0,'Lookup Table'!$Y30+J41,0)</f>
        <v>141151.5</v>
      </c>
      <c r="P41" s="383">
        <f>IF(K41&gt;0,'Lookup Table'!$Y30+K41,0)</f>
        <v>150500.5</v>
      </c>
      <c r="Q41" s="383">
        <f>IF(L41&gt;0,'Lookup Table'!$Y30+L41,0)</f>
        <v>142500.5</v>
      </c>
      <c r="R41" s="383">
        <f>IF(M41&gt;0,'Lookup Table'!$Y30+M41,0)</f>
        <v>0</v>
      </c>
      <c r="S41" s="383">
        <f t="shared" si="3"/>
        <v>0</v>
      </c>
      <c r="T41" s="383">
        <f t="shared" si="10"/>
        <v>0</v>
      </c>
      <c r="U41" s="384" t="str">
        <f t="shared" si="1"/>
        <v xml:space="preserve"> </v>
      </c>
    </row>
    <row r="42" spans="1:21" x14ac:dyDescent="0.25">
      <c r="A42" s="549"/>
      <c r="B42" s="125" t="s">
        <v>237</v>
      </c>
      <c r="C42" s="129"/>
      <c r="D42" s="128"/>
      <c r="E42" s="128"/>
      <c r="F42" s="128"/>
      <c r="G42" s="128"/>
      <c r="H42" s="382" t="str">
        <f>IF(OR(C42&gt;0,D42&gt;0,E42&gt;0,F42&gt;0,G42&gt;0),'Lookup Table'!Y31*SUM(C42:G42)," ")</f>
        <v xml:space="preserve"> </v>
      </c>
      <c r="I42" s="383">
        <f t="shared" si="9"/>
        <v>5000</v>
      </c>
      <c r="J42" s="383">
        <f t="shared" si="5"/>
        <v>8651</v>
      </c>
      <c r="K42" s="383">
        <f t="shared" si="6"/>
        <v>18000</v>
      </c>
      <c r="L42" s="383">
        <f t="shared" si="7"/>
        <v>10000</v>
      </c>
      <c r="M42" s="383">
        <f t="shared" si="8"/>
        <v>0</v>
      </c>
      <c r="N42" s="383">
        <f>IF(I42&gt;0,'Lookup Table'!$Y31+I42,0)</f>
        <v>142500.5</v>
      </c>
      <c r="O42" s="383">
        <f>IF(J42&gt;0,'Lookup Table'!$Y31+J42,0)</f>
        <v>146151.5</v>
      </c>
      <c r="P42" s="383">
        <f>IF(K42&gt;0,'Lookup Table'!$Y31+K42,0)</f>
        <v>155500.5</v>
      </c>
      <c r="Q42" s="383">
        <f>IF(L42&gt;0,'Lookup Table'!$Y31+L42,0)</f>
        <v>147500.5</v>
      </c>
      <c r="R42" s="383">
        <f>IF(M42&gt;0,'Lookup Table'!$Y31+M42,0)</f>
        <v>0</v>
      </c>
      <c r="S42" s="383">
        <f t="shared" si="3"/>
        <v>0</v>
      </c>
      <c r="T42" s="383">
        <f t="shared" si="10"/>
        <v>0</v>
      </c>
      <c r="U42" s="384" t="str">
        <f t="shared" si="1"/>
        <v xml:space="preserve"> </v>
      </c>
    </row>
    <row r="43" spans="1:21" x14ac:dyDescent="0.25">
      <c r="A43" s="549"/>
      <c r="B43" s="125" t="s">
        <v>238</v>
      </c>
      <c r="C43" s="129"/>
      <c r="D43" s="128"/>
      <c r="E43" s="128"/>
      <c r="F43" s="128"/>
      <c r="G43" s="128"/>
      <c r="H43" s="382" t="str">
        <f>IF(OR(C43&gt;0,D43&gt;0,E43&gt;0,F43&gt;0,G43&gt;0),'Lookup Table'!Y32*SUM(C43:G43)," ")</f>
        <v xml:space="preserve"> </v>
      </c>
      <c r="I43" s="383">
        <f t="shared" si="9"/>
        <v>5000</v>
      </c>
      <c r="J43" s="383">
        <f t="shared" si="5"/>
        <v>8651</v>
      </c>
      <c r="K43" s="383">
        <f t="shared" si="6"/>
        <v>18000</v>
      </c>
      <c r="L43" s="383">
        <f t="shared" si="7"/>
        <v>10000</v>
      </c>
      <c r="M43" s="383">
        <f t="shared" si="8"/>
        <v>0</v>
      </c>
      <c r="N43" s="383">
        <f>IF(I43&gt;0,'Lookup Table'!$Y32+I43,0)</f>
        <v>147500.5</v>
      </c>
      <c r="O43" s="383">
        <f>IF(J43&gt;0,'Lookup Table'!$Y32+J43,0)</f>
        <v>151151.5</v>
      </c>
      <c r="P43" s="383">
        <f>IF(K43&gt;0,'Lookup Table'!$Y32+K43,0)</f>
        <v>160500.5</v>
      </c>
      <c r="Q43" s="383">
        <f>IF(L43&gt;0,'Lookup Table'!$Y32+L43,0)</f>
        <v>152500.5</v>
      </c>
      <c r="R43" s="383">
        <f>IF(M43&gt;0,'Lookup Table'!$Y32+M43,0)</f>
        <v>0</v>
      </c>
      <c r="S43" s="383">
        <f t="shared" si="3"/>
        <v>0</v>
      </c>
      <c r="T43" s="383">
        <f t="shared" si="10"/>
        <v>0</v>
      </c>
      <c r="U43" s="384" t="str">
        <f t="shared" si="1"/>
        <v xml:space="preserve"> </v>
      </c>
    </row>
    <row r="44" spans="1:21" x14ac:dyDescent="0.25">
      <c r="A44" s="549"/>
      <c r="B44" s="125" t="s">
        <v>239</v>
      </c>
      <c r="C44" s="129"/>
      <c r="D44" s="128"/>
      <c r="E44" s="128"/>
      <c r="F44" s="128"/>
      <c r="G44" s="128"/>
      <c r="H44" s="382" t="str">
        <f>IF(OR(C44&gt;0,D44&gt;0,E44&gt;0,F44&gt;0,G44&gt;0),'Lookup Table'!Y33*SUM(C44:G44)," ")</f>
        <v xml:space="preserve"> </v>
      </c>
      <c r="I44" s="383">
        <f t="shared" si="9"/>
        <v>5000</v>
      </c>
      <c r="J44" s="383">
        <f t="shared" si="5"/>
        <v>8651</v>
      </c>
      <c r="K44" s="383">
        <f t="shared" si="6"/>
        <v>18000</v>
      </c>
      <c r="L44" s="383">
        <f t="shared" si="7"/>
        <v>10000</v>
      </c>
      <c r="M44" s="383">
        <f t="shared" si="8"/>
        <v>0</v>
      </c>
      <c r="N44" s="383">
        <f>IF(I44&gt;0,'Lookup Table'!$Y33+I44,0)</f>
        <v>152500.5</v>
      </c>
      <c r="O44" s="383">
        <f>IF(J44&gt;0,'Lookup Table'!$Y33+J44,0)</f>
        <v>156151.5</v>
      </c>
      <c r="P44" s="383">
        <f>IF(K44&gt;0,'Lookup Table'!$Y33+K44,0)</f>
        <v>165500.5</v>
      </c>
      <c r="Q44" s="383">
        <f>IF(L44&gt;0,'Lookup Table'!$Y33+L44,0)</f>
        <v>157500.5</v>
      </c>
      <c r="R44" s="383">
        <f>IF(M44&gt;0,'Lookup Table'!$Y33+M44,0)</f>
        <v>0</v>
      </c>
      <c r="S44" s="383">
        <f t="shared" si="3"/>
        <v>0</v>
      </c>
      <c r="T44" s="383">
        <f t="shared" si="10"/>
        <v>0</v>
      </c>
      <c r="U44" s="384" t="str">
        <f t="shared" si="1"/>
        <v xml:space="preserve"> </v>
      </c>
    </row>
    <row r="45" spans="1:21" x14ac:dyDescent="0.25">
      <c r="A45" s="549"/>
      <c r="B45" s="125" t="s">
        <v>240</v>
      </c>
      <c r="C45" s="129"/>
      <c r="D45" s="128"/>
      <c r="E45" s="128"/>
      <c r="F45" s="128"/>
      <c r="G45" s="128"/>
      <c r="H45" s="382" t="str">
        <f>IF(OR(C45&gt;0,D45&gt;0,E45&gt;0,F45&gt;0,G45&gt;0),'Lookup Table'!Y34*SUM(C45:G45)," ")</f>
        <v xml:space="preserve"> </v>
      </c>
      <c r="I45" s="383">
        <f t="shared" si="9"/>
        <v>5000</v>
      </c>
      <c r="J45" s="383">
        <f t="shared" si="5"/>
        <v>8651</v>
      </c>
      <c r="K45" s="383">
        <f t="shared" si="6"/>
        <v>18000</v>
      </c>
      <c r="L45" s="383">
        <f t="shared" si="7"/>
        <v>10000</v>
      </c>
      <c r="M45" s="383">
        <f t="shared" si="8"/>
        <v>0</v>
      </c>
      <c r="N45" s="383">
        <f>IF(I45&gt;0,'Lookup Table'!$Y34+I45,0)</f>
        <v>157500.5</v>
      </c>
      <c r="O45" s="383">
        <f>IF(J45&gt;0,'Lookup Table'!$Y34+J45,0)</f>
        <v>161151.5</v>
      </c>
      <c r="P45" s="383">
        <f>IF(K45&gt;0,'Lookup Table'!$Y34+K45,0)</f>
        <v>170500.5</v>
      </c>
      <c r="Q45" s="383">
        <f>IF(L45&gt;0,'Lookup Table'!$Y34+L45,0)</f>
        <v>162500.5</v>
      </c>
      <c r="R45" s="383">
        <f>IF(M45&gt;0,'Lookup Table'!$Y34+M45,0)</f>
        <v>0</v>
      </c>
      <c r="S45" s="383">
        <f t="shared" si="3"/>
        <v>0</v>
      </c>
      <c r="T45" s="383">
        <f t="shared" si="10"/>
        <v>0</v>
      </c>
      <c r="U45" s="384" t="str">
        <f t="shared" si="1"/>
        <v xml:space="preserve"> </v>
      </c>
    </row>
    <row r="46" spans="1:21" x14ac:dyDescent="0.25">
      <c r="A46" s="549"/>
      <c r="B46" s="125" t="s">
        <v>241</v>
      </c>
      <c r="C46" s="129"/>
      <c r="D46" s="128"/>
      <c r="E46" s="128"/>
      <c r="F46" s="128"/>
      <c r="G46" s="128"/>
      <c r="H46" s="382" t="str">
        <f>IF(OR(C46&gt;0,D46&gt;0,E46&gt;0,F46&gt;0,G46&gt;0),'Lookup Table'!Y35*SUM(C46:G46)," ")</f>
        <v xml:space="preserve"> </v>
      </c>
      <c r="I46" s="383">
        <f t="shared" si="9"/>
        <v>5000</v>
      </c>
      <c r="J46" s="383">
        <f t="shared" si="5"/>
        <v>8651</v>
      </c>
      <c r="K46" s="383">
        <f t="shared" si="6"/>
        <v>18000</v>
      </c>
      <c r="L46" s="383">
        <f t="shared" si="7"/>
        <v>10000</v>
      </c>
      <c r="M46" s="383">
        <f t="shared" si="8"/>
        <v>0</v>
      </c>
      <c r="N46" s="383">
        <f>IF(I46&gt;0,'Lookup Table'!$Y35+I46,0)</f>
        <v>162500.5</v>
      </c>
      <c r="O46" s="383">
        <f>IF(J46&gt;0,'Lookup Table'!$Y35+J46,0)</f>
        <v>166151.5</v>
      </c>
      <c r="P46" s="383">
        <f>IF(K46&gt;0,'Lookup Table'!$Y35+K46,0)</f>
        <v>175500.5</v>
      </c>
      <c r="Q46" s="383">
        <f>IF(L46&gt;0,'Lookup Table'!$Y35+L46,0)</f>
        <v>167500.5</v>
      </c>
      <c r="R46" s="383">
        <f>IF(M46&gt;0,'Lookup Table'!$Y35+M46,0)</f>
        <v>0</v>
      </c>
      <c r="S46" s="383">
        <f t="shared" si="3"/>
        <v>0</v>
      </c>
      <c r="T46" s="383">
        <f t="shared" si="10"/>
        <v>0</v>
      </c>
      <c r="U46" s="384" t="str">
        <f t="shared" si="1"/>
        <v xml:space="preserve"> </v>
      </c>
    </row>
    <row r="47" spans="1:21" x14ac:dyDescent="0.25">
      <c r="A47" s="549"/>
      <c r="B47" s="125" t="s">
        <v>242</v>
      </c>
      <c r="C47" s="129"/>
      <c r="D47" s="128"/>
      <c r="E47" s="128"/>
      <c r="F47" s="128"/>
      <c r="G47" s="128"/>
      <c r="H47" s="382" t="str">
        <f>IF(OR(C47&gt;0,D47&gt;0,E47&gt;0,F47&gt;0,G47&gt;0),'Lookup Table'!Y36*SUM(C47:G47)," ")</f>
        <v xml:space="preserve"> </v>
      </c>
      <c r="I47" s="383">
        <f t="shared" si="9"/>
        <v>5000</v>
      </c>
      <c r="J47" s="383">
        <f t="shared" si="5"/>
        <v>8651</v>
      </c>
      <c r="K47" s="383">
        <f t="shared" si="6"/>
        <v>18000</v>
      </c>
      <c r="L47" s="383">
        <f t="shared" si="7"/>
        <v>10000</v>
      </c>
      <c r="M47" s="383">
        <f t="shared" si="8"/>
        <v>0</v>
      </c>
      <c r="N47" s="383">
        <f>IF(I47&gt;0,'Lookup Table'!$Y36+I47,0)</f>
        <v>167500.5</v>
      </c>
      <c r="O47" s="383">
        <f>IF(J47&gt;0,'Lookup Table'!$Y36+J47,0)</f>
        <v>171151.5</v>
      </c>
      <c r="P47" s="383">
        <f>IF(K47&gt;0,'Lookup Table'!$Y36+K47,0)</f>
        <v>180500.5</v>
      </c>
      <c r="Q47" s="383">
        <f>IF(L47&gt;0,'Lookup Table'!$Y36+L47,0)</f>
        <v>172500.5</v>
      </c>
      <c r="R47" s="383">
        <f>IF(M47&gt;0,'Lookup Table'!$Y36+M47,0)</f>
        <v>0</v>
      </c>
      <c r="S47" s="383">
        <f t="shared" si="3"/>
        <v>0</v>
      </c>
      <c r="T47" s="383">
        <f t="shared" si="10"/>
        <v>0</v>
      </c>
      <c r="U47" s="384" t="str">
        <f t="shared" si="1"/>
        <v xml:space="preserve"> </v>
      </c>
    </row>
    <row r="48" spans="1:21" ht="14.25" customHeight="1" x14ac:dyDescent="0.25">
      <c r="A48" s="549"/>
      <c r="B48" s="125" t="s">
        <v>243</v>
      </c>
      <c r="C48" s="129"/>
      <c r="D48" s="128"/>
      <c r="E48" s="128"/>
      <c r="F48" s="128"/>
      <c r="G48" s="128"/>
      <c r="H48" s="382" t="str">
        <f>IF(OR(C48&gt;0,D48&gt;0,E48&gt;0,F48&gt;0,G48&gt;0),'Lookup Table'!Y37*SUM(C48:G48)," ")</f>
        <v xml:space="preserve"> </v>
      </c>
      <c r="I48" s="383">
        <f t="shared" si="9"/>
        <v>5000</v>
      </c>
      <c r="J48" s="383">
        <f t="shared" si="5"/>
        <v>8651</v>
      </c>
      <c r="K48" s="383">
        <f t="shared" si="6"/>
        <v>18000</v>
      </c>
      <c r="L48" s="383">
        <f t="shared" si="7"/>
        <v>10000</v>
      </c>
      <c r="M48" s="383">
        <f t="shared" si="8"/>
        <v>0</v>
      </c>
      <c r="N48" s="385">
        <f>IF(I48&gt;0,'Lookup Table'!$Y37+I48,0)</f>
        <v>172500.5</v>
      </c>
      <c r="O48" s="385">
        <f>IF(J48&gt;0,'Lookup Table'!$Y37+J48,0)</f>
        <v>176151.5</v>
      </c>
      <c r="P48" s="385">
        <f>IF(K48&gt;0,'Lookup Table'!$Y37+K48,0)</f>
        <v>185500.5</v>
      </c>
      <c r="Q48" s="385">
        <f>IF(L48&gt;0,'Lookup Table'!$Y37+L48,0)</f>
        <v>177500.5</v>
      </c>
      <c r="R48" s="385">
        <f>IF(M48&gt;0,'Lookup Table'!$Y37+M48,0)</f>
        <v>0</v>
      </c>
      <c r="S48" s="385">
        <f t="shared" si="3"/>
        <v>0</v>
      </c>
      <c r="T48" s="385">
        <f t="shared" si="10"/>
        <v>0</v>
      </c>
      <c r="U48" s="386" t="str">
        <f t="shared" si="1"/>
        <v xml:space="preserve"> </v>
      </c>
    </row>
    <row r="49" spans="1:25" ht="14.25" customHeight="1" x14ac:dyDescent="0.25">
      <c r="A49" s="37"/>
      <c r="B49" s="5"/>
      <c r="U49" s="123"/>
    </row>
    <row r="50" spans="1:25" ht="19.5" customHeight="1" x14ac:dyDescent="0.25">
      <c r="A50" s="387" t="s">
        <v>244</v>
      </c>
      <c r="B50" s="31"/>
      <c r="C50" s="388">
        <f t="shared" ref="C50" si="11">SUM(C21:C49)</f>
        <v>0</v>
      </c>
      <c r="D50" s="388">
        <f>SUM(D21:D49)</f>
        <v>0</v>
      </c>
      <c r="E50" s="388">
        <f t="shared" ref="E50:G50" si="12">SUM(E21:E49)</f>
        <v>0</v>
      </c>
      <c r="F50" s="388">
        <f t="shared" si="12"/>
        <v>0</v>
      </c>
      <c r="G50" s="388">
        <f t="shared" si="12"/>
        <v>0</v>
      </c>
      <c r="H50" s="389">
        <f>SUM(H21:H49)</f>
        <v>0</v>
      </c>
      <c r="I50" s="390"/>
      <c r="J50" s="390"/>
      <c r="K50" s="390"/>
      <c r="L50" s="390"/>
      <c r="M50" s="390"/>
      <c r="N50" s="390"/>
      <c r="O50" s="390"/>
      <c r="P50" s="390"/>
      <c r="Q50" s="390"/>
      <c r="R50" s="390"/>
      <c r="S50" s="389">
        <f>SUM(S21:S49)</f>
        <v>0</v>
      </c>
      <c r="T50" s="389">
        <f>ROUND(S50-H50,0)</f>
        <v>0</v>
      </c>
      <c r="U50" s="391" t="str">
        <f>IFERROR(T50/H50," ")</f>
        <v xml:space="preserve"> </v>
      </c>
      <c r="V50" s="542" t="str">
        <f>IF(T50&lt;&gt;C13,"Total salary increase does not equal allocation in Cell C13"," ")</f>
        <v xml:space="preserve"> </v>
      </c>
      <c r="W50" s="512"/>
      <c r="X50" s="512"/>
      <c r="Y50" s="512"/>
    </row>
    <row r="51" spans="1:25" ht="21.2" customHeight="1" x14ac:dyDescent="0.25">
      <c r="A51" s="37"/>
      <c r="B51" s="5"/>
      <c r="C51" s="29"/>
      <c r="D51" s="392"/>
      <c r="E51" s="392"/>
      <c r="F51" s="392"/>
      <c r="G51" s="392"/>
      <c r="H51" s="29"/>
      <c r="S51" s="29"/>
      <c r="T51" s="29"/>
      <c r="U51" s="33"/>
    </row>
    <row r="52" spans="1:25" ht="17.25" customHeight="1" x14ac:dyDescent="0.25">
      <c r="A52" s="393" t="s">
        <v>245</v>
      </c>
      <c r="B52" s="89"/>
      <c r="C52" s="394"/>
      <c r="D52" s="395"/>
      <c r="E52" s="395"/>
      <c r="F52" s="395"/>
      <c r="G52" s="395"/>
      <c r="H52" s="394" t="e">
        <f>H50/SUM(C50:G50)</f>
        <v>#DIV/0!</v>
      </c>
      <c r="I52" s="45"/>
      <c r="J52" s="45"/>
      <c r="K52" s="45"/>
      <c r="L52" s="45"/>
      <c r="M52" s="45"/>
      <c r="N52" s="45"/>
      <c r="O52" s="394"/>
      <c r="P52" s="394"/>
      <c r="Q52" s="394"/>
      <c r="R52" s="394"/>
      <c r="S52" s="394" t="e">
        <f>S50/SUM(C50:G50)</f>
        <v>#DIV/0!</v>
      </c>
      <c r="T52" s="394" t="e">
        <f>S52-H52</f>
        <v>#DIV/0!</v>
      </c>
      <c r="U52" s="396" t="str">
        <f>IFERROR(T52/H52," ")</f>
        <v xml:space="preserve"> </v>
      </c>
    </row>
    <row r="53" spans="1:25" x14ac:dyDescent="0.25">
      <c r="A53" s="11"/>
      <c r="B53" s="397"/>
      <c r="C53" s="398"/>
      <c r="D53" s="397"/>
      <c r="E53" s="397"/>
      <c r="F53" s="397"/>
      <c r="G53" s="397"/>
      <c r="H53" s="397"/>
      <c r="I53" s="399"/>
      <c r="U53" s="33"/>
    </row>
    <row r="54" spans="1:25" ht="17.25" customHeight="1" x14ac:dyDescent="0.25">
      <c r="A54" s="400" t="s">
        <v>246</v>
      </c>
      <c r="B54" s="89"/>
      <c r="C54" s="401"/>
      <c r="D54" s="402"/>
      <c r="E54" s="402"/>
      <c r="F54" s="402"/>
      <c r="G54" s="402"/>
      <c r="H54" s="371">
        <f>H50*'Benefits Estimator'!F40</f>
        <v>0</v>
      </c>
      <c r="I54" s="402"/>
      <c r="J54" s="45"/>
      <c r="K54" s="45"/>
      <c r="L54" s="45"/>
      <c r="M54" s="45"/>
      <c r="N54" s="45"/>
      <c r="O54" s="45"/>
      <c r="P54" s="45"/>
      <c r="Q54" s="45"/>
      <c r="R54" s="45"/>
      <c r="S54" s="371">
        <f>S50*'Benefits Estimator'!F40</f>
        <v>0</v>
      </c>
      <c r="T54" s="394">
        <f>S54-H54</f>
        <v>0</v>
      </c>
      <c r="U54" s="396" t="str">
        <f>IFERROR(T54/H54," ")</f>
        <v xml:space="preserve"> </v>
      </c>
    </row>
    <row r="55" spans="1:25" x14ac:dyDescent="0.25">
      <c r="A55" s="11"/>
      <c r="B55" s="5"/>
      <c r="C55" s="9"/>
      <c r="D55" s="5"/>
      <c r="E55" s="5"/>
      <c r="F55" s="5"/>
      <c r="G55" s="5"/>
      <c r="H55" s="5"/>
      <c r="U55" s="33"/>
    </row>
    <row r="56" spans="1:25" ht="20.45" customHeight="1" x14ac:dyDescent="0.25">
      <c r="A56" s="319" t="s">
        <v>247</v>
      </c>
      <c r="B56" s="403"/>
      <c r="C56" s="404"/>
      <c r="D56" s="31"/>
      <c r="E56" s="31"/>
      <c r="F56" s="31"/>
      <c r="G56" s="31"/>
      <c r="H56" s="389">
        <f>H50+H54</f>
        <v>0</v>
      </c>
      <c r="I56" s="390"/>
      <c r="J56" s="390"/>
      <c r="K56" s="390"/>
      <c r="L56" s="390"/>
      <c r="M56" s="390"/>
      <c r="N56" s="390"/>
      <c r="O56" s="390"/>
      <c r="P56" s="390"/>
      <c r="Q56" s="390"/>
      <c r="R56" s="390"/>
      <c r="S56" s="389">
        <f>S50+S54</f>
        <v>0</v>
      </c>
      <c r="T56" s="389">
        <f>S56-H56</f>
        <v>0</v>
      </c>
      <c r="U56" s="391" t="str">
        <f>IFERROR(T56/H56," ")</f>
        <v xml:space="preserve"> </v>
      </c>
    </row>
    <row r="57" spans="1:25" ht="34.5" customHeight="1" x14ac:dyDescent="0.25">
      <c r="B57" s="5"/>
      <c r="C57" s="9"/>
      <c r="D57" s="5"/>
      <c r="E57" s="5"/>
      <c r="F57" s="5"/>
      <c r="G57" s="5"/>
      <c r="H57" s="5"/>
      <c r="T57" s="473"/>
      <c r="U57" s="543"/>
    </row>
    <row r="58" spans="1:25" ht="17.25" customHeight="1" x14ac:dyDescent="0.25">
      <c r="A58" s="318" t="s">
        <v>248</v>
      </c>
      <c r="B58" s="103"/>
      <c r="C58" s="405"/>
      <c r="D58" s="103"/>
      <c r="E58" s="103"/>
      <c r="F58" s="103"/>
      <c r="G58" s="103"/>
      <c r="H58" s="103"/>
      <c r="I58" s="106"/>
      <c r="T58" s="23"/>
    </row>
    <row r="59" spans="1:25" ht="95.25" customHeight="1" x14ac:dyDescent="0.25">
      <c r="A59" s="454" t="s">
        <v>249</v>
      </c>
      <c r="B59" s="455"/>
      <c r="C59" s="455"/>
      <c r="D59" s="455"/>
      <c r="E59" s="455"/>
      <c r="F59" s="455"/>
      <c r="G59" s="455"/>
      <c r="H59" s="455"/>
      <c r="I59" s="456"/>
    </row>
    <row r="60" spans="1:25" ht="30" x14ac:dyDescent="0.25">
      <c r="A60" s="406" t="s">
        <v>250</v>
      </c>
      <c r="B60" s="407" t="s">
        <v>251</v>
      </c>
      <c r="C60" s="272" t="s">
        <v>252</v>
      </c>
      <c r="D60" s="407" t="s">
        <v>253</v>
      </c>
      <c r="E60" s="272" t="s">
        <v>254</v>
      </c>
      <c r="F60" s="266"/>
      <c r="G60" s="272" t="s">
        <v>255</v>
      </c>
      <c r="H60" s="266"/>
      <c r="I60" s="290"/>
    </row>
    <row r="61" spans="1:25" x14ac:dyDescent="0.25">
      <c r="A61" s="85" t="s">
        <v>256</v>
      </c>
      <c r="B61" s="408">
        <f>B14</f>
        <v>0</v>
      </c>
      <c r="C61" s="306">
        <f>C14</f>
        <v>0</v>
      </c>
      <c r="D61" s="306"/>
      <c r="E61" s="208"/>
      <c r="F61" s="208"/>
      <c r="G61" s="208"/>
      <c r="H61" s="208"/>
      <c r="I61" s="210"/>
    </row>
    <row r="62" spans="1:25" x14ac:dyDescent="0.25">
      <c r="A62" s="19"/>
      <c r="B62" s="15"/>
      <c r="C62" s="409"/>
      <c r="D62" s="15"/>
      <c r="E62" s="20"/>
      <c r="F62" s="20"/>
      <c r="G62" s="20"/>
      <c r="H62" s="20"/>
      <c r="I62" s="21"/>
    </row>
    <row r="63" spans="1:25" ht="18" customHeight="1" x14ac:dyDescent="0.25">
      <c r="A63" s="19" t="s">
        <v>257</v>
      </c>
      <c r="B63" s="15"/>
      <c r="C63" s="409"/>
      <c r="D63" s="117">
        <v>0</v>
      </c>
      <c r="E63" s="133">
        <v>0</v>
      </c>
      <c r="F63" s="20"/>
      <c r="G63" s="38">
        <f>ROUND(D63*E63,0)</f>
        <v>0</v>
      </c>
      <c r="H63" s="20"/>
      <c r="I63" s="21"/>
    </row>
    <row r="64" spans="1:25" ht="18" customHeight="1" x14ac:dyDescent="0.25">
      <c r="A64" s="19" t="s">
        <v>258</v>
      </c>
      <c r="B64" s="410"/>
      <c r="C64" s="409"/>
      <c r="D64" s="117">
        <v>0</v>
      </c>
      <c r="E64" s="132">
        <v>0</v>
      </c>
      <c r="F64" s="20"/>
      <c r="G64" s="38">
        <f>ROUND(D64*E64,0)</f>
        <v>0</v>
      </c>
      <c r="H64" s="20"/>
      <c r="I64" s="21"/>
    </row>
    <row r="65" spans="1:16" ht="18" customHeight="1" x14ac:dyDescent="0.25">
      <c r="A65" s="19" t="s">
        <v>259</v>
      </c>
      <c r="B65" s="15"/>
      <c r="C65" s="409"/>
      <c r="D65" s="117">
        <v>0</v>
      </c>
      <c r="E65" s="133">
        <v>0</v>
      </c>
      <c r="F65" s="20"/>
      <c r="G65" s="38">
        <f>ROUND(D65*E65,0)</f>
        <v>0</v>
      </c>
      <c r="H65" s="20"/>
      <c r="I65" s="21"/>
    </row>
    <row r="66" spans="1:16" ht="18" customHeight="1" x14ac:dyDescent="0.25">
      <c r="A66" s="19" t="s">
        <v>259</v>
      </c>
      <c r="B66" s="15"/>
      <c r="C66" s="409"/>
      <c r="D66" s="117">
        <v>0</v>
      </c>
      <c r="E66" s="133">
        <v>0</v>
      </c>
      <c r="F66" s="20"/>
      <c r="G66" s="38">
        <f>ROUND(D66*E66,0)</f>
        <v>0</v>
      </c>
      <c r="H66" s="20"/>
      <c r="I66" s="21"/>
    </row>
    <row r="67" spans="1:16" x14ac:dyDescent="0.25">
      <c r="A67" s="411"/>
      <c r="B67" s="15"/>
      <c r="C67" s="180"/>
      <c r="D67" s="378"/>
      <c r="E67" s="356"/>
      <c r="F67" s="20"/>
      <c r="G67" s="15"/>
      <c r="H67" s="20"/>
      <c r="I67" s="21"/>
    </row>
    <row r="68" spans="1:16" x14ac:dyDescent="0.25">
      <c r="A68" s="19" t="s">
        <v>260</v>
      </c>
      <c r="B68" s="412"/>
      <c r="C68" s="20"/>
      <c r="D68" s="15"/>
      <c r="E68" s="356"/>
      <c r="F68" s="20"/>
      <c r="G68" s="38">
        <f>SUM(G63:G67)</f>
        <v>0</v>
      </c>
      <c r="H68" s="20"/>
      <c r="I68" s="21"/>
      <c r="J68" s="542" t="str">
        <f>IF(G68&lt;&gt;C14,"Total stipend amount does not equal allocation in Cell C14"," ")</f>
        <v xml:space="preserve"> </v>
      </c>
      <c r="K68" s="512"/>
      <c r="L68" s="512"/>
      <c r="M68" s="512"/>
    </row>
    <row r="69" spans="1:16" x14ac:dyDescent="0.25">
      <c r="A69" s="19" t="s">
        <v>261</v>
      </c>
      <c r="B69" s="412"/>
      <c r="C69" s="20"/>
      <c r="D69" s="15"/>
      <c r="E69" s="356"/>
      <c r="F69" s="20"/>
      <c r="G69" s="38" t="str">
        <f>IFERROR(SUM(G63:G66)/SUM(E63:E66)," ")</f>
        <v xml:space="preserve"> </v>
      </c>
      <c r="H69" s="20"/>
      <c r="I69" s="21"/>
    </row>
    <row r="70" spans="1:16" x14ac:dyDescent="0.25">
      <c r="A70" s="62" t="s">
        <v>262</v>
      </c>
      <c r="B70" s="413"/>
      <c r="C70" s="414"/>
      <c r="D70" s="413"/>
      <c r="E70" s="415"/>
      <c r="F70" s="414"/>
      <c r="G70" s="38">
        <f>ROUND(G68*'Benefits Estimator'!C40,0)</f>
        <v>0</v>
      </c>
      <c r="H70" s="414"/>
      <c r="I70" s="91"/>
    </row>
    <row r="71" spans="1:16" x14ac:dyDescent="0.25">
      <c r="A71" s="11"/>
      <c r="B71" s="397"/>
      <c r="D71" s="5"/>
      <c r="E71" s="416"/>
      <c r="G71" s="5"/>
      <c r="I71" s="24"/>
    </row>
    <row r="72" spans="1:16" ht="21.2" customHeight="1" x14ac:dyDescent="0.25">
      <c r="A72" s="387" t="s">
        <v>263</v>
      </c>
      <c r="B72" s="417"/>
      <c r="C72" s="390"/>
      <c r="D72" s="31"/>
      <c r="E72" s="418"/>
      <c r="F72" s="390"/>
      <c r="G72" s="31">
        <f>G68+G70</f>
        <v>0</v>
      </c>
      <c r="H72" s="390"/>
      <c r="I72" s="419"/>
    </row>
    <row r="73" spans="1:16" ht="50.25" customHeight="1" x14ac:dyDescent="0.25">
      <c r="A73" s="454" t="s">
        <v>264</v>
      </c>
      <c r="B73" s="547"/>
      <c r="C73" s="547"/>
      <c r="D73" s="547"/>
      <c r="E73" s="547"/>
      <c r="F73" s="547"/>
      <c r="G73" s="547"/>
      <c r="H73" s="547"/>
      <c r="I73" s="548"/>
    </row>
    <row r="74" spans="1:16" ht="24.75" customHeight="1" x14ac:dyDescent="0.25">
      <c r="A74" s="406" t="s">
        <v>265</v>
      </c>
      <c r="B74" s="420"/>
      <c r="C74" s="266"/>
      <c r="D74" s="421"/>
      <c r="E74" s="353"/>
      <c r="F74" s="266"/>
      <c r="G74" s="421"/>
      <c r="H74" s="421"/>
      <c r="I74" s="422" t="s">
        <v>193</v>
      </c>
    </row>
    <row r="75" spans="1:16" x14ac:dyDescent="0.25">
      <c r="A75" s="19" t="s">
        <v>266</v>
      </c>
      <c r="B75" s="423"/>
      <c r="C75" s="424"/>
      <c r="D75" s="423"/>
      <c r="E75" s="425"/>
      <c r="F75" s="20"/>
      <c r="G75" s="15"/>
      <c r="H75" s="15"/>
      <c r="I75" s="426">
        <f>T50</f>
        <v>0</v>
      </c>
      <c r="J75" s="542" t="str">
        <f>IF(I75&lt;&gt;C13,"The total salary incentive amount does not equal the amount allocated in Cell C13 above"," ")</f>
        <v xml:space="preserve"> </v>
      </c>
      <c r="K75" s="512"/>
      <c r="L75" s="512"/>
      <c r="M75" s="512"/>
      <c r="N75" s="512"/>
      <c r="O75" s="512"/>
    </row>
    <row r="76" spans="1:16" x14ac:dyDescent="0.25">
      <c r="A76" s="19" t="s">
        <v>267</v>
      </c>
      <c r="B76" s="20"/>
      <c r="C76" s="20"/>
      <c r="D76" s="15"/>
      <c r="E76" s="356"/>
      <c r="F76" s="20"/>
      <c r="G76" s="15"/>
      <c r="H76" s="15"/>
      <c r="I76" s="426">
        <f>G68</f>
        <v>0</v>
      </c>
      <c r="J76" s="542" t="str">
        <f>IF(I76&lt;&gt;C14,"The stipend incentive amount does not equal the amount allocated in Cell C14 above"," ")</f>
        <v xml:space="preserve"> </v>
      </c>
      <c r="K76" s="512"/>
      <c r="L76" s="512"/>
      <c r="M76" s="512"/>
      <c r="N76" s="512"/>
      <c r="O76" s="512"/>
    </row>
    <row r="77" spans="1:16" x14ac:dyDescent="0.25">
      <c r="A77" s="19" t="s">
        <v>153</v>
      </c>
      <c r="B77" s="20"/>
      <c r="C77" s="20"/>
      <c r="D77" s="15"/>
      <c r="E77" s="356"/>
      <c r="F77" s="20"/>
      <c r="G77" s="15"/>
      <c r="H77" s="15"/>
      <c r="I77" s="426">
        <f>T54+G70</f>
        <v>0</v>
      </c>
      <c r="J77" s="542" t="str">
        <f>IF(I77&lt;&gt;C15,"Total fringe benefit costs exceed the amount allocated in Cell C15 above"," ")</f>
        <v xml:space="preserve"> </v>
      </c>
      <c r="K77" s="512"/>
      <c r="L77" s="512"/>
      <c r="M77" s="512"/>
      <c r="N77" s="512"/>
      <c r="P77" s="29"/>
    </row>
    <row r="78" spans="1:16" x14ac:dyDescent="0.25">
      <c r="A78" s="427" t="s">
        <v>268</v>
      </c>
      <c r="B78" s="45"/>
      <c r="C78" s="45"/>
      <c r="D78" s="402"/>
      <c r="E78" s="428"/>
      <c r="F78" s="45"/>
      <c r="G78" s="402"/>
      <c r="H78" s="402"/>
      <c r="I78" s="371">
        <f>SUM(I75:I77)</f>
        <v>0</v>
      </c>
      <c r="J78" s="6"/>
      <c r="K78" s="6"/>
      <c r="L78" s="6"/>
      <c r="M78" s="6"/>
      <c r="N78" s="6"/>
      <c r="O78" s="6"/>
      <c r="P78" s="29"/>
    </row>
    <row r="79" spans="1:16" x14ac:dyDescent="0.25">
      <c r="A79" s="65" t="s">
        <v>269</v>
      </c>
      <c r="B79" s="20"/>
      <c r="C79" s="20"/>
      <c r="D79" s="15"/>
      <c r="E79" s="356"/>
      <c r="F79" s="20"/>
      <c r="G79" s="15"/>
      <c r="H79" s="15"/>
      <c r="I79" s="429"/>
      <c r="J79" s="6"/>
      <c r="K79" s="6"/>
      <c r="L79" s="6"/>
      <c r="M79" s="6"/>
      <c r="N79" s="6"/>
      <c r="O79" s="6"/>
      <c r="P79" s="29"/>
    </row>
    <row r="80" spans="1:16" x14ac:dyDescent="0.25">
      <c r="A80" s="19" t="s">
        <v>270</v>
      </c>
      <c r="B80" s="20"/>
      <c r="C80" s="20"/>
      <c r="D80" s="15"/>
      <c r="E80" s="356"/>
      <c r="F80" s="20"/>
      <c r="G80" s="15"/>
      <c r="H80" s="15"/>
      <c r="I80" s="430">
        <f>Allotments!E50</f>
        <v>0</v>
      </c>
      <c r="J80" s="6"/>
      <c r="K80" s="6"/>
      <c r="L80" s="6"/>
      <c r="M80" s="6"/>
      <c r="N80" s="6"/>
      <c r="O80" s="6"/>
      <c r="P80" s="29"/>
    </row>
    <row r="81" spans="1:16" x14ac:dyDescent="0.25">
      <c r="A81" s="19" t="s">
        <v>271</v>
      </c>
      <c r="B81" s="20"/>
      <c r="C81" s="20"/>
      <c r="D81" s="15"/>
      <c r="E81" s="356"/>
      <c r="F81" s="20"/>
      <c r="G81" s="15"/>
      <c r="H81" s="15"/>
      <c r="I81" s="426">
        <f>C15</f>
        <v>0</v>
      </c>
      <c r="J81" s="6"/>
      <c r="K81" s="6"/>
      <c r="L81" s="6"/>
      <c r="M81" s="6"/>
      <c r="N81" s="6"/>
      <c r="O81" s="6"/>
      <c r="P81" s="29"/>
    </row>
    <row r="82" spans="1:16" x14ac:dyDescent="0.25">
      <c r="A82" s="427" t="s">
        <v>272</v>
      </c>
      <c r="B82" s="316"/>
      <c r="C82" s="316"/>
      <c r="D82" s="394"/>
      <c r="E82" s="431"/>
      <c r="F82" s="316"/>
      <c r="G82" s="394"/>
      <c r="H82" s="394"/>
      <c r="I82" s="371">
        <f>I77-I80-I81</f>
        <v>0</v>
      </c>
      <c r="J82" s="6"/>
      <c r="K82" s="6"/>
      <c r="L82" s="6"/>
      <c r="M82" s="6"/>
      <c r="N82" s="6"/>
      <c r="O82" s="6"/>
      <c r="P82" s="29"/>
    </row>
    <row r="83" spans="1:16" x14ac:dyDescent="0.25">
      <c r="A83" s="379"/>
      <c r="B83" s="414"/>
      <c r="C83" s="93"/>
      <c r="D83" s="432"/>
      <c r="E83" s="433"/>
      <c r="F83" s="414"/>
      <c r="G83" s="413"/>
      <c r="H83" s="413"/>
      <c r="I83" s="380"/>
    </row>
    <row r="84" spans="1:16" ht="70.7" customHeight="1" x14ac:dyDescent="0.25">
      <c r="B84" s="434"/>
      <c r="C84" s="6"/>
      <c r="D84" s="6"/>
      <c r="E84" s="416"/>
      <c r="G84" s="5"/>
      <c r="H84" s="473"/>
      <c r="I84" s="543"/>
    </row>
    <row r="85" spans="1:16" x14ac:dyDescent="0.25">
      <c r="B85" s="5"/>
      <c r="E85" s="416"/>
      <c r="G85" s="5"/>
    </row>
    <row r="86" spans="1:16" x14ac:dyDescent="0.25">
      <c r="B86" s="5"/>
      <c r="C86" s="5"/>
      <c r="D86" s="5"/>
      <c r="E86" s="416"/>
      <c r="G86" s="5"/>
    </row>
    <row r="87" spans="1:16" x14ac:dyDescent="0.25">
      <c r="B87" s="5"/>
      <c r="C87" s="5"/>
      <c r="D87" s="5"/>
      <c r="E87" s="416"/>
      <c r="G87" s="5"/>
    </row>
    <row r="88" spans="1:16" x14ac:dyDescent="0.25">
      <c r="B88" s="9"/>
      <c r="C88" s="5"/>
      <c r="D88" s="5"/>
      <c r="E88" s="34"/>
    </row>
    <row r="89" spans="1:16" x14ac:dyDescent="0.25">
      <c r="B89" s="9"/>
      <c r="C89" s="5"/>
      <c r="D89" s="5"/>
      <c r="E89" s="34"/>
    </row>
    <row r="90" spans="1:16" x14ac:dyDescent="0.25">
      <c r="B90" s="5"/>
      <c r="C90" s="5"/>
      <c r="D90" s="5"/>
      <c r="E90" s="34"/>
    </row>
    <row r="91" spans="1:16" x14ac:dyDescent="0.25">
      <c r="B91" s="5"/>
      <c r="C91" s="5"/>
      <c r="D91" s="5"/>
      <c r="E91" s="34"/>
    </row>
    <row r="92" spans="1:16" x14ac:dyDescent="0.25">
      <c r="B92" s="5"/>
      <c r="C92" s="5"/>
      <c r="D92" s="5"/>
      <c r="E92" s="34"/>
    </row>
    <row r="93" spans="1:16" x14ac:dyDescent="0.25">
      <c r="B93" s="5"/>
      <c r="C93" s="5"/>
      <c r="D93" s="5"/>
      <c r="E93" s="34"/>
    </row>
    <row r="94" spans="1:16" x14ac:dyDescent="0.25">
      <c r="B94" s="5"/>
      <c r="C94" s="5"/>
      <c r="D94" s="5"/>
      <c r="E94" s="34"/>
    </row>
    <row r="95" spans="1:16" x14ac:dyDescent="0.25">
      <c r="B95" s="5"/>
      <c r="C95" s="5"/>
      <c r="D95" s="5"/>
      <c r="E95" s="34"/>
    </row>
    <row r="96" spans="1:16" x14ac:dyDescent="0.25">
      <c r="B96" s="5"/>
      <c r="C96" s="5"/>
      <c r="D96" s="5"/>
      <c r="E96" s="34"/>
    </row>
    <row r="97" spans="1:8" ht="44.85" customHeight="1" x14ac:dyDescent="0.25">
      <c r="B97" s="5"/>
      <c r="C97" s="9"/>
      <c r="D97" s="5"/>
      <c r="E97" s="23"/>
    </row>
    <row r="98" spans="1:8" x14ac:dyDescent="0.25">
      <c r="B98" s="5"/>
      <c r="C98" s="9"/>
      <c r="D98" s="5"/>
    </row>
    <row r="99" spans="1:8" ht="44.1" customHeight="1" x14ac:dyDescent="0.25">
      <c r="A99" s="26"/>
      <c r="B99" s="27"/>
      <c r="C99" s="27"/>
      <c r="D99" s="28"/>
      <c r="E99" s="28"/>
      <c r="F99" s="28"/>
    </row>
    <row r="106" spans="1:8" x14ac:dyDescent="0.25">
      <c r="C106" s="25"/>
      <c r="D106" s="22"/>
      <c r="E106" s="22"/>
      <c r="F106" s="22"/>
      <c r="G106" s="22"/>
      <c r="H106" s="22"/>
    </row>
    <row r="107" spans="1:8" x14ac:dyDescent="0.25">
      <c r="C107" s="12"/>
      <c r="D107" s="13"/>
      <c r="E107" s="13"/>
      <c r="F107" s="13"/>
      <c r="G107" s="13"/>
      <c r="H107" s="13"/>
    </row>
    <row r="108" spans="1:8" x14ac:dyDescent="0.25">
      <c r="C108" s="12"/>
      <c r="D108" s="13"/>
      <c r="E108" s="13"/>
      <c r="F108" s="13"/>
      <c r="G108" s="13"/>
      <c r="H108" s="13"/>
    </row>
    <row r="109" spans="1:8" x14ac:dyDescent="0.25">
      <c r="C109" s="12"/>
      <c r="D109" s="13"/>
      <c r="E109" s="13"/>
      <c r="F109" s="13"/>
      <c r="G109" s="13"/>
      <c r="H109" s="13"/>
    </row>
    <row r="110" spans="1:8" x14ac:dyDescent="0.25">
      <c r="C110" s="12"/>
      <c r="D110" s="13"/>
      <c r="E110" s="13"/>
      <c r="F110" s="13"/>
      <c r="G110" s="13"/>
      <c r="H110" s="13"/>
    </row>
    <row r="111" spans="1:8" x14ac:dyDescent="0.25">
      <c r="C111" s="12"/>
      <c r="D111" s="13"/>
      <c r="E111" s="13"/>
      <c r="F111" s="13"/>
      <c r="G111" s="13"/>
      <c r="H111" s="13"/>
    </row>
    <row r="112" spans="1:8" x14ac:dyDescent="0.25">
      <c r="C112" s="12"/>
      <c r="D112" s="13"/>
      <c r="E112" s="13"/>
      <c r="F112" s="13"/>
      <c r="G112" s="13"/>
      <c r="H112" s="13"/>
    </row>
    <row r="113" spans="3:8" x14ac:dyDescent="0.25">
      <c r="C113" s="12"/>
      <c r="D113" s="13"/>
      <c r="E113" s="13"/>
      <c r="F113" s="13"/>
      <c r="G113" s="13"/>
      <c r="H113" s="13"/>
    </row>
  </sheetData>
  <sheetProtection algorithmName="SHA-512" hashValue="2TFIp1k3wJeWk7xXdvLZEaZsYAsdhzn6nYMujHNWm88TCEfQSx81ewqk7HQsUxlY4n28c/EZY9+T+/2jNnkc0w==" saltValue="mmWsvfG7SQ2hfCinZJnOLw==" spinCount="100000" sheet="1" objects="1" scenarios="1"/>
  <mergeCells count="12">
    <mergeCell ref="V50:Y50"/>
    <mergeCell ref="J68:M68"/>
    <mergeCell ref="A21:A48"/>
    <mergeCell ref="T57:U57"/>
    <mergeCell ref="J75:O75"/>
    <mergeCell ref="J76:O76"/>
    <mergeCell ref="J77:N77"/>
    <mergeCell ref="H84:I84"/>
    <mergeCell ref="A6:A10"/>
    <mergeCell ref="A18:U18"/>
    <mergeCell ref="A73:I73"/>
    <mergeCell ref="A59:I59"/>
  </mergeCells>
  <conditionalFormatting sqref="G19">
    <cfRule type="expression" dxfId="7" priority="13">
      <formula>$G$19=0</formula>
    </cfRule>
  </conditionalFormatting>
  <conditionalFormatting sqref="J68">
    <cfRule type="expression" dxfId="6" priority="8">
      <formula>J68&lt;&gt;" "</formula>
    </cfRule>
  </conditionalFormatting>
  <conditionalFormatting sqref="J77">
    <cfRule type="expression" dxfId="5" priority="1">
      <formula>J77&lt;&gt;" "</formula>
    </cfRule>
  </conditionalFormatting>
  <conditionalFormatting sqref="J68:M68">
    <cfRule type="expression" dxfId="4" priority="7">
      <formula>$J$68&lt;&gt;" "</formula>
    </cfRule>
  </conditionalFormatting>
  <conditionalFormatting sqref="J75:M76">
    <cfRule type="expression" dxfId="3" priority="2">
      <formula>J75&lt;&gt;" "</formula>
    </cfRule>
  </conditionalFormatting>
  <conditionalFormatting sqref="M19">
    <cfRule type="expression" dxfId="2" priority="12">
      <formula>$G$19=0</formula>
    </cfRule>
  </conditionalFormatting>
  <conditionalFormatting sqref="R19">
    <cfRule type="expression" dxfId="1" priority="11">
      <formula>$G$19=0</formula>
    </cfRule>
  </conditionalFormatting>
  <conditionalFormatting sqref="V50">
    <cfRule type="expression" dxfId="0" priority="9">
      <formula>V50&lt;&gt;" "</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prompt="You may use this default calculation of the Master Teacher Stipend, or enter an amount in the empty cell. Using your own amount will likely result in a total that is not equal to the allocated amount. " xr:uid="{60E40E42-7DCB-42AC-99FE-FB9282841E4C}">
          <x14:formula1>
            <xm:f>'Lookup Table'!$L$7:$L$8</xm:f>
          </x14:formula1>
          <xm:sqref>B98 B58 B55:B56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A22D-6FBD-4DF8-B214-2BA65040C58E}">
  <dimension ref="A1:B92"/>
  <sheetViews>
    <sheetView showGridLines="0" workbookViewId="0">
      <selection activeCell="A2" sqref="A2"/>
    </sheetView>
  </sheetViews>
  <sheetFormatPr defaultRowHeight="15" x14ac:dyDescent="0.25"/>
  <cols>
    <col min="1" max="1" width="92.5703125" customWidth="1"/>
    <col min="2" max="2" width="38.7109375" customWidth="1"/>
  </cols>
  <sheetData>
    <row r="1" spans="1:2" ht="51" customHeight="1" x14ac:dyDescent="0.25">
      <c r="A1" s="267" t="s">
        <v>273</v>
      </c>
      <c r="B1" s="33"/>
    </row>
    <row r="2" spans="1:2" s="435" customFormat="1" x14ac:dyDescent="0.25"/>
    <row r="3" spans="1:2" s="435" customFormat="1" x14ac:dyDescent="0.25"/>
    <row r="4" spans="1:2" s="435" customFormat="1" x14ac:dyDescent="0.25"/>
    <row r="5" spans="1:2" s="435" customFormat="1" x14ac:dyDescent="0.25"/>
    <row r="6" spans="1:2" s="435" customFormat="1" x14ac:dyDescent="0.25"/>
    <row r="7" spans="1:2" s="435" customFormat="1" x14ac:dyDescent="0.25"/>
    <row r="8" spans="1:2" s="435" customFormat="1" x14ac:dyDescent="0.25"/>
    <row r="9" spans="1:2" s="435" customFormat="1" x14ac:dyDescent="0.25"/>
    <row r="10" spans="1:2" s="435" customFormat="1" x14ac:dyDescent="0.25"/>
    <row r="11" spans="1:2" s="435" customFormat="1" x14ac:dyDescent="0.25"/>
    <row r="12" spans="1:2" s="435" customFormat="1" x14ac:dyDescent="0.25"/>
    <row r="13" spans="1:2" s="435" customFormat="1" x14ac:dyDescent="0.25"/>
    <row r="14" spans="1:2" s="435" customFormat="1" x14ac:dyDescent="0.25"/>
    <row r="15" spans="1:2" s="435" customFormat="1" x14ac:dyDescent="0.25"/>
    <row r="16" spans="1:2" s="435" customFormat="1" x14ac:dyDescent="0.25"/>
    <row r="17" s="435" customFormat="1" x14ac:dyDescent="0.25"/>
    <row r="18" s="435" customFormat="1" x14ac:dyDescent="0.25"/>
    <row r="19" s="435" customFormat="1" x14ac:dyDescent="0.25"/>
    <row r="20" s="435" customFormat="1" x14ac:dyDescent="0.25"/>
    <row r="21" s="435" customFormat="1" x14ac:dyDescent="0.25"/>
    <row r="22" s="435" customFormat="1" x14ac:dyDescent="0.25"/>
    <row r="23" s="435" customFormat="1" x14ac:dyDescent="0.25"/>
    <row r="24" s="435" customFormat="1" x14ac:dyDescent="0.25"/>
    <row r="25" s="435" customFormat="1" x14ac:dyDescent="0.25"/>
    <row r="26" s="435" customFormat="1" x14ac:dyDescent="0.25"/>
    <row r="27" s="435" customFormat="1" x14ac:dyDescent="0.25"/>
    <row r="28" s="435" customFormat="1" x14ac:dyDescent="0.25"/>
    <row r="29" s="435" customFormat="1" x14ac:dyDescent="0.25"/>
    <row r="30" s="435" customFormat="1" x14ac:dyDescent="0.25"/>
    <row r="31" s="435" customFormat="1" x14ac:dyDescent="0.25"/>
    <row r="32" s="435" customFormat="1" x14ac:dyDescent="0.25"/>
    <row r="33" s="435" customFormat="1" x14ac:dyDescent="0.25"/>
    <row r="34" s="435" customFormat="1" x14ac:dyDescent="0.25"/>
    <row r="35" s="435" customFormat="1" x14ac:dyDescent="0.25"/>
    <row r="36" s="435" customFormat="1" x14ac:dyDescent="0.25"/>
    <row r="37" s="435" customFormat="1" x14ac:dyDescent="0.25"/>
    <row r="38" s="435" customFormat="1" x14ac:dyDescent="0.25"/>
    <row r="39" s="435" customFormat="1" x14ac:dyDescent="0.25"/>
    <row r="40" s="435" customFormat="1" x14ac:dyDescent="0.25"/>
    <row r="41" s="435" customFormat="1" x14ac:dyDescent="0.25"/>
    <row r="42" s="435" customFormat="1" x14ac:dyDescent="0.25"/>
    <row r="43" s="435" customFormat="1" x14ac:dyDescent="0.25"/>
    <row r="44" s="435" customFormat="1" x14ac:dyDescent="0.25"/>
    <row r="45" s="435" customFormat="1" x14ac:dyDescent="0.25"/>
    <row r="46" s="435" customFormat="1" x14ac:dyDescent="0.25"/>
    <row r="47" s="435" customFormat="1" x14ac:dyDescent="0.25"/>
    <row r="48" s="435" customFormat="1" x14ac:dyDescent="0.25"/>
    <row r="49" s="435" customFormat="1" x14ac:dyDescent="0.25"/>
    <row r="50" s="435" customFormat="1" x14ac:dyDescent="0.25"/>
    <row r="51" s="435" customFormat="1" x14ac:dyDescent="0.25"/>
    <row r="52" s="435" customFormat="1" x14ac:dyDescent="0.25"/>
    <row r="53" s="435" customFormat="1" x14ac:dyDescent="0.25"/>
    <row r="54" s="435" customFormat="1" x14ac:dyDescent="0.25"/>
    <row r="55" s="435" customFormat="1" x14ac:dyDescent="0.25"/>
    <row r="56" s="435" customFormat="1" x14ac:dyDescent="0.25"/>
    <row r="57" s="435" customFormat="1" x14ac:dyDescent="0.25"/>
    <row r="58" s="435" customFormat="1" x14ac:dyDescent="0.25"/>
    <row r="59" s="435" customFormat="1" x14ac:dyDescent="0.25"/>
    <row r="60" s="435" customFormat="1" x14ac:dyDescent="0.25"/>
    <row r="61" s="435" customFormat="1" x14ac:dyDescent="0.25"/>
    <row r="62" s="435" customFormat="1" x14ac:dyDescent="0.25"/>
    <row r="63" s="435" customFormat="1" x14ac:dyDescent="0.25"/>
    <row r="64" s="435" customFormat="1" x14ac:dyDescent="0.25"/>
    <row r="65" s="435" customFormat="1" x14ac:dyDescent="0.25"/>
    <row r="66" s="435" customFormat="1" x14ac:dyDescent="0.25"/>
    <row r="67" s="435" customFormat="1" x14ac:dyDescent="0.25"/>
    <row r="68" s="435" customFormat="1" x14ac:dyDescent="0.25"/>
    <row r="69" s="435" customFormat="1" x14ac:dyDescent="0.25"/>
    <row r="70" s="435" customFormat="1" x14ac:dyDescent="0.25"/>
    <row r="71" s="435" customFormat="1" x14ac:dyDescent="0.25"/>
    <row r="72" s="435" customFormat="1" x14ac:dyDescent="0.25"/>
    <row r="73" s="435" customFormat="1" x14ac:dyDescent="0.25"/>
    <row r="74" s="435" customFormat="1" x14ac:dyDescent="0.25"/>
    <row r="75" s="435" customFormat="1" x14ac:dyDescent="0.25"/>
    <row r="76" s="435" customFormat="1" x14ac:dyDescent="0.25"/>
    <row r="77" s="435" customFormat="1" x14ac:dyDescent="0.25"/>
    <row r="78" s="435" customFormat="1" x14ac:dyDescent="0.25"/>
    <row r="79" s="435" customFormat="1" x14ac:dyDescent="0.25"/>
    <row r="80" s="435" customFormat="1" x14ac:dyDescent="0.25"/>
    <row r="81" s="435" customFormat="1" x14ac:dyDescent="0.25"/>
    <row r="82" s="435" customFormat="1" x14ac:dyDescent="0.25"/>
    <row r="83" s="435" customFormat="1" x14ac:dyDescent="0.25"/>
    <row r="84" s="435" customFormat="1" x14ac:dyDescent="0.25"/>
    <row r="85" s="435" customFormat="1" x14ac:dyDescent="0.25"/>
    <row r="86" s="435" customFormat="1" x14ac:dyDescent="0.25"/>
    <row r="87" s="435" customFormat="1" x14ac:dyDescent="0.25"/>
    <row r="88" s="435" customFormat="1" x14ac:dyDescent="0.25"/>
    <row r="89" s="435" customFormat="1" x14ac:dyDescent="0.25"/>
    <row r="90" s="435" customFormat="1" x14ac:dyDescent="0.25"/>
    <row r="91" s="435" customFormat="1" x14ac:dyDescent="0.25"/>
    <row r="92" s="435"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A9E5-31CB-4B0D-8290-DC7D0C6052A4}">
  <dimension ref="A1:Y1217"/>
  <sheetViews>
    <sheetView topLeftCell="A35" zoomScale="90" zoomScaleNormal="90" workbookViewId="0">
      <selection activeCell="A2" sqref="A2"/>
    </sheetView>
  </sheetViews>
  <sheetFormatPr defaultRowHeight="15" x14ac:dyDescent="0.25"/>
  <cols>
    <col min="1" max="1" width="49.28515625" customWidth="1"/>
    <col min="2" max="2" width="17.42578125" customWidth="1"/>
    <col min="3" max="3" width="59.42578125" hidden="1" customWidth="1"/>
    <col min="4" max="4" width="52.42578125" customWidth="1"/>
    <col min="5" max="5" width="12" customWidth="1"/>
    <col min="6" max="6" width="21.5703125" customWidth="1"/>
    <col min="7" max="7" width="20.7109375" customWidth="1"/>
    <col min="8" max="8" width="17.85546875" customWidth="1"/>
    <col min="9" max="9" width="13.5703125" customWidth="1"/>
    <col min="12" max="12" width="11" customWidth="1"/>
    <col min="13" max="13" width="11" bestFit="1" customWidth="1"/>
    <col min="14" max="15" width="10.85546875" bestFit="1" customWidth="1"/>
    <col min="17" max="17" width="12" customWidth="1"/>
    <col min="21" max="22" width="10" customWidth="1"/>
    <col min="23" max="23" width="12.42578125" customWidth="1"/>
  </cols>
  <sheetData>
    <row r="1" spans="1:25" x14ac:dyDescent="0.25">
      <c r="A1" t="s">
        <v>274</v>
      </c>
      <c r="F1" t="s">
        <v>275</v>
      </c>
    </row>
    <row r="2" spans="1:25" x14ac:dyDescent="0.25">
      <c r="L2" t="s">
        <v>276</v>
      </c>
      <c r="P2" t="s">
        <v>277</v>
      </c>
    </row>
    <row r="3" spans="1:25" x14ac:dyDescent="0.25">
      <c r="A3" s="10" t="s">
        <v>278</v>
      </c>
      <c r="B3" s="109" t="s">
        <v>279</v>
      </c>
      <c r="C3" s="109" t="s">
        <v>280</v>
      </c>
      <c r="D3" s="109" t="s">
        <v>281</v>
      </c>
      <c r="E3" s="110" t="s">
        <v>282</v>
      </c>
      <c r="F3" s="111" t="s">
        <v>8</v>
      </c>
      <c r="G3" s="111" t="s">
        <v>9</v>
      </c>
      <c r="H3" s="112" t="s">
        <v>10</v>
      </c>
      <c r="I3" s="109" t="s">
        <v>283</v>
      </c>
      <c r="J3" s="108" t="s">
        <v>284</v>
      </c>
      <c r="L3" s="7" t="s">
        <v>15</v>
      </c>
      <c r="M3" s="7" t="s">
        <v>16</v>
      </c>
      <c r="N3" s="7" t="s">
        <v>17</v>
      </c>
      <c r="P3" s="7" t="s">
        <v>285</v>
      </c>
    </row>
    <row r="4" spans="1:25" ht="14.25" customHeight="1" x14ac:dyDescent="0.25">
      <c r="A4" t="str">
        <f>Table1[[#This Row],[District name]]&amp;" "&amp;Table1[[#This Row],[District number]]</f>
        <v>A+ ACADEMY 057829</v>
      </c>
      <c r="B4" t="s">
        <v>286</v>
      </c>
      <c r="C4" s="1"/>
      <c r="D4" t="s">
        <v>287</v>
      </c>
      <c r="E4" s="2" t="s">
        <v>288</v>
      </c>
      <c r="F4" s="137" t="s">
        <v>289</v>
      </c>
      <c r="G4" s="137" t="s">
        <v>290</v>
      </c>
      <c r="H4" s="137" t="s">
        <v>291</v>
      </c>
      <c r="I4" s="113" t="s">
        <v>292</v>
      </c>
      <c r="J4" s="108" t="str">
        <f t="shared" ref="J4:J66" si="0">LEFT(B4,6)</f>
        <v>057829</v>
      </c>
      <c r="L4" s="8"/>
      <c r="M4" s="8"/>
      <c r="N4" s="8"/>
    </row>
    <row r="5" spans="1:25" ht="15" customHeight="1" x14ac:dyDescent="0.25">
      <c r="A5" t="str">
        <f>Table1[[#This Row],[District name]]&amp;" "&amp;Table1[[#This Row],[District number]]</f>
        <v>A+ UNLIMITED POTENTIAL 101871</v>
      </c>
      <c r="B5" t="s">
        <v>293</v>
      </c>
      <c r="C5" s="1"/>
      <c r="D5" t="s">
        <v>294</v>
      </c>
      <c r="E5" s="2" t="s">
        <v>295</v>
      </c>
      <c r="F5" s="137" t="s">
        <v>296</v>
      </c>
      <c r="G5" s="137" t="s">
        <v>297</v>
      </c>
      <c r="H5" s="137" t="s">
        <v>298</v>
      </c>
      <c r="I5" s="113" t="s">
        <v>292</v>
      </c>
      <c r="J5" s="108" t="str">
        <f t="shared" si="0"/>
        <v>101871</v>
      </c>
    </row>
    <row r="6" spans="1:25" ht="15" customHeight="1" x14ac:dyDescent="0.25">
      <c r="A6" t="str">
        <f>Table1[[#This Row],[District name]]&amp;" "&amp;Table1[[#This Row],[District number]]</f>
        <v>ABBOTT ISD 109901</v>
      </c>
      <c r="B6" t="s">
        <v>299</v>
      </c>
      <c r="C6" s="1"/>
      <c r="D6" t="s">
        <v>300</v>
      </c>
      <c r="E6" s="2" t="s">
        <v>301</v>
      </c>
      <c r="F6" s="137" t="s">
        <v>302</v>
      </c>
      <c r="G6" s="137" t="s">
        <v>303</v>
      </c>
      <c r="H6" s="137" t="s">
        <v>304</v>
      </c>
      <c r="I6" s="113" t="s">
        <v>292</v>
      </c>
      <c r="J6" s="108" t="str">
        <f t="shared" si="0"/>
        <v>109901</v>
      </c>
      <c r="L6" t="s">
        <v>305</v>
      </c>
    </row>
    <row r="7" spans="1:25" ht="15" customHeight="1" x14ac:dyDescent="0.25">
      <c r="A7" t="str">
        <f>Table1[[#This Row],[District name]]&amp;" "&amp;Table1[[#This Row],[District number]]</f>
        <v>ABERNATHY ISD 095901</v>
      </c>
      <c r="B7" t="s">
        <v>306</v>
      </c>
      <c r="C7" s="1"/>
      <c r="D7" t="s">
        <v>307</v>
      </c>
      <c r="E7" s="2" t="s">
        <v>308</v>
      </c>
      <c r="F7" s="137" t="s">
        <v>309</v>
      </c>
      <c r="G7" s="137" t="s">
        <v>310</v>
      </c>
      <c r="H7" s="137" t="s">
        <v>311</v>
      </c>
      <c r="I7" s="113" t="s">
        <v>292</v>
      </c>
      <c r="J7" s="108" t="str">
        <f t="shared" si="0"/>
        <v>095901</v>
      </c>
      <c r="L7" s="5" t="e">
        <f>('Stipend-Based Plan'!#REF!-'Stipend-Based Plan'!E20-'Stipend-Based Plan'!E20)/'Stipend-Based Plan'!D20</f>
        <v>#REF!</v>
      </c>
    </row>
    <row r="8" spans="1:25" ht="14.25" customHeight="1" x14ac:dyDescent="0.25">
      <c r="A8" t="str">
        <f>Table1[[#This Row],[District name]]&amp;" "&amp;Table1[[#This Row],[District number]]</f>
        <v>ABILENE ISD 221901</v>
      </c>
      <c r="B8" t="s">
        <v>312</v>
      </c>
      <c r="C8" s="1"/>
      <c r="D8" t="s">
        <v>313</v>
      </c>
      <c r="E8" s="2" t="s">
        <v>314</v>
      </c>
      <c r="F8" s="137" t="s">
        <v>315</v>
      </c>
      <c r="G8" s="137" t="s">
        <v>316</v>
      </c>
      <c r="H8" s="137" t="s">
        <v>317</v>
      </c>
      <c r="I8" s="113" t="s">
        <v>292</v>
      </c>
      <c r="J8" s="108" t="str">
        <f t="shared" si="0"/>
        <v>221901</v>
      </c>
    </row>
    <row r="9" spans="1:25" ht="15" customHeight="1" x14ac:dyDescent="0.25">
      <c r="A9" t="str">
        <f>Table1[[#This Row],[District name]]&amp;" "&amp;Table1[[#This Row],[District number]]</f>
        <v>ACADEMY FOR ACADEMIC EXCELLENCE 057814</v>
      </c>
      <c r="B9" t="s">
        <v>318</v>
      </c>
      <c r="C9" s="1"/>
      <c r="D9" t="s">
        <v>319</v>
      </c>
      <c r="E9" s="2" t="s">
        <v>288</v>
      </c>
      <c r="F9" s="137" t="s">
        <v>320</v>
      </c>
      <c r="G9" s="137" t="s">
        <v>321</v>
      </c>
      <c r="H9" s="137" t="s">
        <v>322</v>
      </c>
      <c r="I9" s="113" t="s">
        <v>292</v>
      </c>
      <c r="J9" s="108" t="str">
        <f t="shared" si="0"/>
        <v>057814</v>
      </c>
      <c r="V9" t="s">
        <v>323</v>
      </c>
      <c r="Y9" t="s">
        <v>324</v>
      </c>
    </row>
    <row r="10" spans="1:25" ht="15" customHeight="1" x14ac:dyDescent="0.25">
      <c r="A10" t="str">
        <f>Table1[[#This Row],[District name]]&amp;" "&amp;Table1[[#This Row],[District number]]</f>
        <v>ACADEMY ISD 014901</v>
      </c>
      <c r="B10" t="s">
        <v>325</v>
      </c>
      <c r="C10" s="1"/>
      <c r="D10" t="s">
        <v>326</v>
      </c>
      <c r="E10" s="2" t="s">
        <v>301</v>
      </c>
      <c r="F10" s="137" t="s">
        <v>327</v>
      </c>
      <c r="G10" s="137" t="s">
        <v>328</v>
      </c>
      <c r="H10" s="137" t="s">
        <v>329</v>
      </c>
      <c r="I10" s="113" t="s">
        <v>292</v>
      </c>
      <c r="J10" s="108" t="str">
        <f t="shared" si="0"/>
        <v>014901</v>
      </c>
      <c r="L10" t="s">
        <v>330</v>
      </c>
      <c r="N10" t="s">
        <v>331</v>
      </c>
      <c r="P10" t="s">
        <v>332</v>
      </c>
      <c r="R10" t="s">
        <v>333</v>
      </c>
      <c r="S10" t="s">
        <v>334</v>
      </c>
      <c r="T10" t="s">
        <v>335</v>
      </c>
      <c r="Y10" s="100">
        <f>(30000+35000)/2</f>
        <v>32500</v>
      </c>
    </row>
    <row r="11" spans="1:25" ht="15" customHeight="1" x14ac:dyDescent="0.25">
      <c r="A11" t="str">
        <f>Table1[[#This Row],[District name]]&amp;" "&amp;Table1[[#This Row],[District number]]</f>
        <v>ACADEMY OF ACCELERATED LEARNING INC 101810</v>
      </c>
      <c r="B11" t="s">
        <v>336</v>
      </c>
      <c r="C11" s="1"/>
      <c r="D11" t="s">
        <v>337</v>
      </c>
      <c r="E11" s="2" t="s">
        <v>295</v>
      </c>
      <c r="F11" s="137" t="s">
        <v>338</v>
      </c>
      <c r="G11" s="137" t="s">
        <v>339</v>
      </c>
      <c r="H11" s="137" t="s">
        <v>340</v>
      </c>
      <c r="I11" s="113" t="s">
        <v>292</v>
      </c>
      <c r="J11" s="108" t="str">
        <f t="shared" si="0"/>
        <v>101810</v>
      </c>
      <c r="L11" s="8">
        <v>0</v>
      </c>
      <c r="N11" s="8">
        <v>0</v>
      </c>
      <c r="P11" s="8">
        <v>0</v>
      </c>
      <c r="R11" s="8">
        <v>0</v>
      </c>
      <c r="S11" s="8">
        <v>0</v>
      </c>
      <c r="T11" s="8">
        <v>0</v>
      </c>
      <c r="V11" t="s">
        <v>341</v>
      </c>
      <c r="Y11" s="100">
        <f>(35001+40000)/2</f>
        <v>37500.5</v>
      </c>
    </row>
    <row r="12" spans="1:25" ht="15" customHeight="1" x14ac:dyDescent="0.25">
      <c r="A12" t="str">
        <f>Table1[[#This Row],[District name]]&amp;" "&amp;Table1[[#This Row],[District number]]</f>
        <v>ACADEMY OF DALLAS 057810</v>
      </c>
      <c r="B12" t="s">
        <v>342</v>
      </c>
      <c r="C12" s="1"/>
      <c r="D12" t="s">
        <v>343</v>
      </c>
      <c r="E12" s="2" t="s">
        <v>288</v>
      </c>
      <c r="F12" s="137" t="s">
        <v>344</v>
      </c>
      <c r="G12" s="137" t="s">
        <v>345</v>
      </c>
      <c r="H12" s="137" t="s">
        <v>346</v>
      </c>
      <c r="I12" s="113" t="s">
        <v>292</v>
      </c>
      <c r="J12" s="108" t="str">
        <f t="shared" si="0"/>
        <v>057810</v>
      </c>
      <c r="L12" s="8">
        <v>0.01</v>
      </c>
      <c r="N12" s="8">
        <v>0.01</v>
      </c>
      <c r="P12" s="8">
        <v>0.01</v>
      </c>
      <c r="R12" s="8">
        <v>0.01</v>
      </c>
      <c r="S12" s="8">
        <v>0.01</v>
      </c>
      <c r="T12" s="8">
        <v>0.01</v>
      </c>
      <c r="V12" t="s">
        <v>347</v>
      </c>
      <c r="Y12" s="100">
        <f>(40001+45000)/2</f>
        <v>42500.5</v>
      </c>
    </row>
    <row r="13" spans="1:25" ht="15" customHeight="1" x14ac:dyDescent="0.25">
      <c r="A13" t="str">
        <f>Table1[[#This Row],[District name]]&amp;" "&amp;Table1[[#This Row],[District number]]</f>
        <v>ACCELERATED INTERMEDIATE ACADEMY 101849</v>
      </c>
      <c r="B13" t="s">
        <v>348</v>
      </c>
      <c r="C13" s="1"/>
      <c r="D13" t="s">
        <v>349</v>
      </c>
      <c r="E13" s="2" t="s">
        <v>295</v>
      </c>
      <c r="F13" s="137" t="s">
        <v>350</v>
      </c>
      <c r="G13" s="137" t="s">
        <v>351</v>
      </c>
      <c r="H13" s="137" t="s">
        <v>352</v>
      </c>
      <c r="I13" s="113" t="s">
        <v>292</v>
      </c>
      <c r="J13" s="108" t="str">
        <f t="shared" si="0"/>
        <v>101849</v>
      </c>
      <c r="L13" s="8">
        <v>0.02</v>
      </c>
      <c r="N13" s="8">
        <v>0.02</v>
      </c>
      <c r="P13" s="8">
        <v>0.02</v>
      </c>
      <c r="R13" s="8">
        <v>0.02</v>
      </c>
      <c r="S13" s="8">
        <v>0.02</v>
      </c>
      <c r="T13" s="8">
        <v>0.02</v>
      </c>
      <c r="V13" t="s">
        <v>353</v>
      </c>
      <c r="Y13" s="100">
        <f>(45001+50000)/2</f>
        <v>47500.5</v>
      </c>
    </row>
    <row r="14" spans="1:25" ht="15" customHeight="1" x14ac:dyDescent="0.25">
      <c r="A14" t="str">
        <f>Table1[[#This Row],[District name]]&amp;" "&amp;Table1[[#This Row],[District number]]</f>
        <v>ADRIAN ISD 180903</v>
      </c>
      <c r="B14" t="s">
        <v>354</v>
      </c>
      <c r="C14" s="1"/>
      <c r="D14" t="s">
        <v>355</v>
      </c>
      <c r="E14" s="2" t="s">
        <v>356</v>
      </c>
      <c r="F14" s="137" t="s">
        <v>357</v>
      </c>
      <c r="G14" s="137" t="s">
        <v>358</v>
      </c>
      <c r="H14" s="137" t="s">
        <v>359</v>
      </c>
      <c r="I14" s="113" t="s">
        <v>292</v>
      </c>
      <c r="J14" s="108" t="str">
        <f t="shared" si="0"/>
        <v>180903</v>
      </c>
      <c r="L14" s="8">
        <v>0.03</v>
      </c>
      <c r="N14" s="8">
        <v>0.03</v>
      </c>
      <c r="P14" s="8">
        <v>0.03</v>
      </c>
      <c r="R14" s="8">
        <v>0.03</v>
      </c>
      <c r="S14" s="8">
        <v>0.03</v>
      </c>
      <c r="T14" s="8">
        <v>0.03</v>
      </c>
      <c r="V14" t="s">
        <v>360</v>
      </c>
      <c r="Y14" s="100">
        <f>(50001+55000)/2</f>
        <v>52500.5</v>
      </c>
    </row>
    <row r="15" spans="1:25" ht="15" customHeight="1" x14ac:dyDescent="0.25">
      <c r="A15" t="str">
        <f>Table1[[#This Row],[District name]]&amp;" "&amp;Table1[[#This Row],[District number]]</f>
        <v>ADVANTAGE ACADEMY 057806</v>
      </c>
      <c r="B15" t="s">
        <v>361</v>
      </c>
      <c r="C15" s="1"/>
      <c r="D15" t="s">
        <v>362</v>
      </c>
      <c r="E15" s="2" t="s">
        <v>288</v>
      </c>
      <c r="F15" s="137" t="s">
        <v>363</v>
      </c>
      <c r="G15" s="137" t="s">
        <v>364</v>
      </c>
      <c r="H15" s="137" t="s">
        <v>365</v>
      </c>
      <c r="I15" s="113" t="s">
        <v>292</v>
      </c>
      <c r="J15" s="108" t="str">
        <f t="shared" si="0"/>
        <v>057806</v>
      </c>
      <c r="L15" s="8">
        <v>0.04</v>
      </c>
      <c r="N15" s="8">
        <v>0.04</v>
      </c>
      <c r="P15" s="8">
        <v>0.04</v>
      </c>
      <c r="R15" s="8">
        <v>0.04</v>
      </c>
      <c r="S15" s="8">
        <v>0.04</v>
      </c>
      <c r="T15" s="8">
        <v>0.04</v>
      </c>
      <c r="V15" t="s">
        <v>366</v>
      </c>
      <c r="Y15" s="100">
        <f>(55001+60000)/2</f>
        <v>57500.5</v>
      </c>
    </row>
    <row r="16" spans="1:25" ht="15" customHeight="1" x14ac:dyDescent="0.25">
      <c r="A16" t="str">
        <f>Table1[[#This Row],[District name]]&amp;" "&amp;Table1[[#This Row],[District number]]</f>
        <v>AGUA DULCE ISD 178901</v>
      </c>
      <c r="B16" t="s">
        <v>367</v>
      </c>
      <c r="C16" s="1"/>
      <c r="D16" t="s">
        <v>368</v>
      </c>
      <c r="E16" s="2" t="s">
        <v>369</v>
      </c>
      <c r="F16" s="137" t="s">
        <v>370</v>
      </c>
      <c r="G16" s="137" t="s">
        <v>371</v>
      </c>
      <c r="H16" s="137" t="s">
        <v>372</v>
      </c>
      <c r="I16" s="113" t="s">
        <v>292</v>
      </c>
      <c r="J16" s="108" t="str">
        <f t="shared" si="0"/>
        <v>178901</v>
      </c>
      <c r="L16" s="8">
        <v>0.05</v>
      </c>
      <c r="N16" s="8">
        <v>0.05</v>
      </c>
      <c r="P16" s="8">
        <v>0.05</v>
      </c>
      <c r="R16" s="8">
        <v>0.05</v>
      </c>
      <c r="S16" s="8">
        <v>0.05</v>
      </c>
      <c r="T16" s="8">
        <v>0.05</v>
      </c>
      <c r="V16" t="s">
        <v>373</v>
      </c>
      <c r="Y16" s="100">
        <f>(60001+65000)/2</f>
        <v>62500.5</v>
      </c>
    </row>
    <row r="17" spans="1:25" ht="15" customHeight="1" x14ac:dyDescent="0.25">
      <c r="A17" t="str">
        <f>Table1[[#This Row],[District name]]&amp;" "&amp;Table1[[#This Row],[District number]]</f>
        <v>ALAMO HEIGHTS ISD 015901</v>
      </c>
      <c r="B17" t="s">
        <v>374</v>
      </c>
      <c r="C17" s="1"/>
      <c r="D17" t="s">
        <v>375</v>
      </c>
      <c r="E17" s="2" t="s">
        <v>376</v>
      </c>
      <c r="F17" s="137" t="s">
        <v>377</v>
      </c>
      <c r="G17" s="137" t="s">
        <v>378</v>
      </c>
      <c r="H17" s="137" t="s">
        <v>379</v>
      </c>
      <c r="I17" s="113" t="s">
        <v>292</v>
      </c>
      <c r="J17" s="108" t="str">
        <f t="shared" si="0"/>
        <v>015901</v>
      </c>
      <c r="L17" s="8">
        <v>0.06</v>
      </c>
      <c r="N17" s="8">
        <v>0.06</v>
      </c>
      <c r="P17" s="8">
        <v>0.06</v>
      </c>
      <c r="R17" s="8">
        <v>0.06</v>
      </c>
      <c r="S17" s="8">
        <v>0.06</v>
      </c>
      <c r="T17" s="8">
        <v>0.06</v>
      </c>
      <c r="V17" t="s">
        <v>380</v>
      </c>
      <c r="Y17" s="100">
        <f>(65001+70000)/2</f>
        <v>67500.5</v>
      </c>
    </row>
    <row r="18" spans="1:25" ht="15" customHeight="1" x14ac:dyDescent="0.25">
      <c r="A18" t="str">
        <f>Table1[[#This Row],[District name]]&amp;" "&amp;Table1[[#This Row],[District number]]</f>
        <v>ALBA-GOLDEN ISD 250906</v>
      </c>
      <c r="B18" t="s">
        <v>381</v>
      </c>
      <c r="C18" s="1"/>
      <c r="D18" t="s">
        <v>382</v>
      </c>
      <c r="E18" s="2" t="s">
        <v>383</v>
      </c>
      <c r="F18" s="137" t="s">
        <v>384</v>
      </c>
      <c r="G18" s="137" t="s">
        <v>385</v>
      </c>
      <c r="H18" s="137" t="s">
        <v>386</v>
      </c>
      <c r="I18" s="113" t="s">
        <v>292</v>
      </c>
      <c r="J18" s="108" t="str">
        <f t="shared" si="0"/>
        <v>250906</v>
      </c>
      <c r="L18" s="8">
        <v>7.0000000000000007E-2</v>
      </c>
      <c r="N18" s="8">
        <v>7.0000000000000007E-2</v>
      </c>
      <c r="P18" s="8">
        <v>7.0000000000000007E-2</v>
      </c>
      <c r="R18" s="8">
        <v>7.0000000000000007E-2</v>
      </c>
      <c r="S18" s="8">
        <v>7.0000000000000007E-2</v>
      </c>
      <c r="T18" s="8">
        <v>7.0000000000000007E-2</v>
      </c>
      <c r="V18" t="s">
        <v>387</v>
      </c>
      <c r="Y18" s="100">
        <f>(70001+75000)/2</f>
        <v>72500.5</v>
      </c>
    </row>
    <row r="19" spans="1:25" ht="15" customHeight="1" x14ac:dyDescent="0.25">
      <c r="A19" t="str">
        <f>Table1[[#This Row],[District name]]&amp;" "&amp;Table1[[#This Row],[District number]]</f>
        <v>ALBANY ISD 209901</v>
      </c>
      <c r="B19" t="s">
        <v>388</v>
      </c>
      <c r="C19" s="1"/>
      <c r="D19" t="s">
        <v>389</v>
      </c>
      <c r="E19" s="2" t="s">
        <v>314</v>
      </c>
      <c r="F19" s="137" t="s">
        <v>390</v>
      </c>
      <c r="G19" s="137" t="s">
        <v>391</v>
      </c>
      <c r="H19" s="137" t="s">
        <v>392</v>
      </c>
      <c r="I19" s="113" t="s">
        <v>292</v>
      </c>
      <c r="J19" s="108" t="str">
        <f t="shared" si="0"/>
        <v>209901</v>
      </c>
      <c r="L19" s="8">
        <v>0.08</v>
      </c>
      <c r="N19" s="8">
        <v>0.08</v>
      </c>
      <c r="P19" s="8">
        <v>0.08</v>
      </c>
      <c r="R19" s="8">
        <v>0.08</v>
      </c>
      <c r="S19" s="8">
        <v>0.08</v>
      </c>
      <c r="T19" s="8">
        <v>0.08</v>
      </c>
      <c r="V19" t="s">
        <v>393</v>
      </c>
      <c r="Y19" s="100">
        <f>(75001+80000)/2</f>
        <v>77500.5</v>
      </c>
    </row>
    <row r="20" spans="1:25" ht="15" customHeight="1" x14ac:dyDescent="0.25">
      <c r="A20" t="str">
        <f>Table1[[#This Row],[District name]]&amp;" "&amp;Table1[[#This Row],[District number]]</f>
        <v>ALDINE ISD 101902</v>
      </c>
      <c r="B20" t="s">
        <v>394</v>
      </c>
      <c r="C20" s="1"/>
      <c r="D20" t="s">
        <v>395</v>
      </c>
      <c r="E20" s="2" t="s">
        <v>295</v>
      </c>
      <c r="F20" s="137" t="s">
        <v>396</v>
      </c>
      <c r="G20" s="137" t="s">
        <v>397</v>
      </c>
      <c r="H20" s="137" t="s">
        <v>398</v>
      </c>
      <c r="I20" s="113" t="s">
        <v>292</v>
      </c>
      <c r="J20" s="108" t="str">
        <f t="shared" si="0"/>
        <v>101902</v>
      </c>
      <c r="L20" s="8">
        <v>0.09</v>
      </c>
      <c r="N20" s="8">
        <v>0.09</v>
      </c>
      <c r="P20" s="8">
        <v>0.09</v>
      </c>
      <c r="R20" s="8">
        <v>0.09</v>
      </c>
      <c r="S20" s="8">
        <v>0.09</v>
      </c>
      <c r="T20" s="8">
        <v>0.09</v>
      </c>
      <c r="V20" t="s">
        <v>399</v>
      </c>
      <c r="Y20" s="100">
        <f>(80001+85000)/2</f>
        <v>82500.5</v>
      </c>
    </row>
    <row r="21" spans="1:25" ht="15" customHeight="1" x14ac:dyDescent="0.25">
      <c r="A21" t="str">
        <f>Table1[[#This Row],[District name]]&amp;" "&amp;Table1[[#This Row],[District number]]</f>
        <v>ALEDO ISD 184907</v>
      </c>
      <c r="B21" t="s">
        <v>400</v>
      </c>
      <c r="C21" s="1"/>
      <c r="D21" t="s">
        <v>401</v>
      </c>
      <c r="E21" s="2" t="s">
        <v>402</v>
      </c>
      <c r="F21" s="137" t="s">
        <v>403</v>
      </c>
      <c r="G21" s="137" t="s">
        <v>404</v>
      </c>
      <c r="H21" s="137" t="s">
        <v>405</v>
      </c>
      <c r="I21" s="113" t="s">
        <v>292</v>
      </c>
      <c r="J21" s="108" t="str">
        <f t="shared" si="0"/>
        <v>184907</v>
      </c>
      <c r="L21" s="8">
        <v>0.1</v>
      </c>
      <c r="N21" s="8">
        <v>0.1</v>
      </c>
      <c r="P21" s="8">
        <v>0.1</v>
      </c>
      <c r="R21" s="8">
        <v>0.1</v>
      </c>
      <c r="S21" s="8">
        <v>0.1</v>
      </c>
      <c r="T21" s="8">
        <v>0.1</v>
      </c>
      <c r="V21" t="s">
        <v>406</v>
      </c>
      <c r="Y21" s="100">
        <f>(85001+90000)/2</f>
        <v>87500.5</v>
      </c>
    </row>
    <row r="22" spans="1:25" ht="15" customHeight="1" x14ac:dyDescent="0.25">
      <c r="A22" t="str">
        <f>Table1[[#This Row],[District name]]&amp;" "&amp;Table1[[#This Row],[District number]]</f>
        <v>ALICE ISD 125901</v>
      </c>
      <c r="B22" t="s">
        <v>407</v>
      </c>
      <c r="C22" s="1"/>
      <c r="D22" t="s">
        <v>408</v>
      </c>
      <c r="E22" s="2" t="s">
        <v>369</v>
      </c>
      <c r="F22" s="137" t="s">
        <v>409</v>
      </c>
      <c r="G22" s="137" t="s">
        <v>410</v>
      </c>
      <c r="H22" s="137" t="s">
        <v>411</v>
      </c>
      <c r="I22" s="113" t="s">
        <v>292</v>
      </c>
      <c r="J22" s="108" t="str">
        <f t="shared" si="0"/>
        <v>125901</v>
      </c>
      <c r="L22" s="8">
        <v>0.11</v>
      </c>
      <c r="N22" s="8">
        <v>0.11</v>
      </c>
      <c r="P22" s="8"/>
      <c r="R22" s="8">
        <v>0.11</v>
      </c>
      <c r="S22" s="8">
        <v>0.11</v>
      </c>
      <c r="T22" s="8">
        <v>0.11</v>
      </c>
      <c r="V22" t="s">
        <v>412</v>
      </c>
      <c r="Y22" s="100">
        <f>(90001+95000)/2</f>
        <v>92500.5</v>
      </c>
    </row>
    <row r="23" spans="1:25" ht="15" customHeight="1" x14ac:dyDescent="0.25">
      <c r="A23" t="str">
        <f>Table1[[#This Row],[District name]]&amp;" "&amp;Table1[[#This Row],[District number]]</f>
        <v>ALIEF ISD 101903</v>
      </c>
      <c r="B23" t="s">
        <v>413</v>
      </c>
      <c r="C23" s="1"/>
      <c r="D23" t="s">
        <v>414</v>
      </c>
      <c r="E23" s="2" t="s">
        <v>295</v>
      </c>
      <c r="F23" s="137" t="s">
        <v>415</v>
      </c>
      <c r="G23" s="137" t="s">
        <v>416</v>
      </c>
      <c r="H23" s="137" t="s">
        <v>417</v>
      </c>
      <c r="I23" s="113" t="s">
        <v>292</v>
      </c>
      <c r="J23" s="108" t="str">
        <f t="shared" si="0"/>
        <v>101903</v>
      </c>
      <c r="L23" s="8">
        <v>0.12</v>
      </c>
      <c r="N23" s="8">
        <v>0.12</v>
      </c>
      <c r="P23" s="8"/>
      <c r="R23" s="8">
        <v>0.12</v>
      </c>
      <c r="S23" s="8">
        <v>0.12</v>
      </c>
      <c r="T23" s="8">
        <v>0.12</v>
      </c>
      <c r="Y23" s="100">
        <f>(95001+100000)/2</f>
        <v>97500.5</v>
      </c>
    </row>
    <row r="24" spans="1:25" ht="15" customHeight="1" x14ac:dyDescent="0.25">
      <c r="A24" t="str">
        <f>Table1[[#This Row],[District name]]&amp;" "&amp;Table1[[#This Row],[District number]]</f>
        <v>ALIEF MONTESSORI COMMUNITY SCHOOL 101815</v>
      </c>
      <c r="B24" t="s">
        <v>418</v>
      </c>
      <c r="C24" s="1"/>
      <c r="D24" t="s">
        <v>419</v>
      </c>
      <c r="E24" s="2" t="s">
        <v>295</v>
      </c>
      <c r="F24" s="137" t="s">
        <v>420</v>
      </c>
      <c r="G24" s="137" t="s">
        <v>421</v>
      </c>
      <c r="H24" s="137" t="s">
        <v>422</v>
      </c>
      <c r="I24" s="113" t="s">
        <v>292</v>
      </c>
      <c r="J24" s="108" t="str">
        <f t="shared" si="0"/>
        <v>101815</v>
      </c>
      <c r="L24" s="8">
        <v>0.13</v>
      </c>
      <c r="N24" s="8">
        <v>0.13</v>
      </c>
      <c r="P24" s="8"/>
      <c r="R24" s="8">
        <v>0.13</v>
      </c>
      <c r="S24" s="8">
        <v>0.13</v>
      </c>
      <c r="T24" s="8">
        <v>0.13</v>
      </c>
      <c r="Y24" s="100">
        <f>(100001+105000)/2</f>
        <v>102500.5</v>
      </c>
    </row>
    <row r="25" spans="1:25" ht="15" customHeight="1" x14ac:dyDescent="0.25">
      <c r="A25" t="str">
        <f>Table1[[#This Row],[District name]]&amp;" "&amp;Table1[[#This Row],[District number]]</f>
        <v>ALLEN ISD 043901</v>
      </c>
      <c r="B25" t="s">
        <v>423</v>
      </c>
      <c r="C25" s="1"/>
      <c r="D25" t="s">
        <v>424</v>
      </c>
      <c r="E25" s="2" t="s">
        <v>288</v>
      </c>
      <c r="F25" s="137" t="s">
        <v>425</v>
      </c>
      <c r="G25" s="137" t="s">
        <v>426</v>
      </c>
      <c r="H25" s="137" t="s">
        <v>427</v>
      </c>
      <c r="I25" s="113" t="s">
        <v>292</v>
      </c>
      <c r="J25" s="108" t="str">
        <f t="shared" si="0"/>
        <v>043901</v>
      </c>
      <c r="L25" s="8">
        <v>0.14000000000000001</v>
      </c>
      <c r="N25" s="8">
        <v>0.14000000000000001</v>
      </c>
      <c r="P25" s="8"/>
      <c r="R25" s="8">
        <v>0.14000000000000001</v>
      </c>
      <c r="S25" s="8">
        <v>0.14000000000000001</v>
      </c>
      <c r="T25" s="8">
        <v>0.14000000000000001</v>
      </c>
      <c r="Y25" s="100">
        <f>(105001+110000)/2</f>
        <v>107500.5</v>
      </c>
    </row>
    <row r="26" spans="1:25" ht="15" customHeight="1" x14ac:dyDescent="0.25">
      <c r="A26" t="str">
        <f>Table1[[#This Row],[District name]]&amp;" "&amp;Table1[[#This Row],[District number]]</f>
        <v>ALPINE ISD 022901</v>
      </c>
      <c r="B26" t="s">
        <v>428</v>
      </c>
      <c r="C26" s="1"/>
      <c r="D26" t="s">
        <v>429</v>
      </c>
      <c r="E26" s="2" t="s">
        <v>430</v>
      </c>
      <c r="F26" s="137" t="s">
        <v>431</v>
      </c>
      <c r="G26" s="137" t="s">
        <v>432</v>
      </c>
      <c r="H26" s="137" t="s">
        <v>433</v>
      </c>
      <c r="I26" s="113" t="s">
        <v>292</v>
      </c>
      <c r="J26" s="108" t="str">
        <f t="shared" si="0"/>
        <v>022901</v>
      </c>
      <c r="L26" s="8">
        <v>0.15</v>
      </c>
      <c r="N26" s="8">
        <v>0.15</v>
      </c>
      <c r="P26" s="8"/>
      <c r="R26" s="8">
        <v>0.15</v>
      </c>
      <c r="S26" s="8">
        <v>0.15</v>
      </c>
      <c r="T26" s="8">
        <v>0.15</v>
      </c>
      <c r="Y26" s="100">
        <f>(110001+115000)/2</f>
        <v>112500.5</v>
      </c>
    </row>
    <row r="27" spans="1:25" ht="15" customHeight="1" x14ac:dyDescent="0.25">
      <c r="A27" t="str">
        <f>Table1[[#This Row],[District name]]&amp;" "&amp;Table1[[#This Row],[District number]]</f>
        <v>ALTO ISD 037901</v>
      </c>
      <c r="B27" t="s">
        <v>434</v>
      </c>
      <c r="C27" s="1"/>
      <c r="D27" t="s">
        <v>435</v>
      </c>
      <c r="E27" s="2" t="s">
        <v>383</v>
      </c>
      <c r="F27" s="137" t="s">
        <v>436</v>
      </c>
      <c r="G27" s="137" t="s">
        <v>437</v>
      </c>
      <c r="H27" s="137" t="s">
        <v>438</v>
      </c>
      <c r="I27" s="113" t="s">
        <v>292</v>
      </c>
      <c r="J27" s="108" t="str">
        <f t="shared" si="0"/>
        <v>037901</v>
      </c>
      <c r="L27" s="8">
        <v>0.16</v>
      </c>
      <c r="N27" s="8">
        <v>0.16</v>
      </c>
      <c r="P27" s="8"/>
      <c r="R27" s="8">
        <v>0.16</v>
      </c>
      <c r="S27" s="8">
        <v>0.16</v>
      </c>
      <c r="T27" s="8">
        <v>0.16</v>
      </c>
      <c r="Y27" s="100">
        <f>(115001+120000)/2</f>
        <v>117500.5</v>
      </c>
    </row>
    <row r="28" spans="1:25" ht="15" customHeight="1" x14ac:dyDescent="0.25">
      <c r="A28" t="str">
        <f>Table1[[#This Row],[District name]]&amp;" "&amp;Table1[[#This Row],[District number]]</f>
        <v>ALVARADO ISD 126901</v>
      </c>
      <c r="B28" t="s">
        <v>439</v>
      </c>
      <c r="C28" s="1"/>
      <c r="D28" t="s">
        <v>440</v>
      </c>
      <c r="E28" s="2" t="s">
        <v>402</v>
      </c>
      <c r="F28" s="137" t="s">
        <v>426</v>
      </c>
      <c r="G28" s="137" t="s">
        <v>441</v>
      </c>
      <c r="H28" s="137" t="s">
        <v>442</v>
      </c>
      <c r="I28" s="113" t="s">
        <v>292</v>
      </c>
      <c r="J28" s="108" t="str">
        <f t="shared" si="0"/>
        <v>126901</v>
      </c>
      <c r="L28" s="8">
        <v>0.17</v>
      </c>
      <c r="N28" s="8">
        <v>0.17</v>
      </c>
      <c r="P28" s="8"/>
      <c r="R28" s="8">
        <v>0.17</v>
      </c>
      <c r="S28" s="8">
        <v>0.17</v>
      </c>
      <c r="T28" s="8">
        <v>0.17</v>
      </c>
      <c r="Y28" s="100">
        <f>(120001+125000)/2</f>
        <v>122500.5</v>
      </c>
    </row>
    <row r="29" spans="1:25" ht="15" customHeight="1" x14ac:dyDescent="0.25">
      <c r="A29" t="str">
        <f>Table1[[#This Row],[District name]]&amp;" "&amp;Table1[[#This Row],[District number]]</f>
        <v>ALVIN ISD 020901</v>
      </c>
      <c r="B29" t="s">
        <v>443</v>
      </c>
      <c r="C29" s="1"/>
      <c r="D29" t="s">
        <v>444</v>
      </c>
      <c r="E29" s="2" t="s">
        <v>295</v>
      </c>
      <c r="F29" s="137" t="s">
        <v>445</v>
      </c>
      <c r="G29" s="137" t="s">
        <v>446</v>
      </c>
      <c r="H29" s="137" t="s">
        <v>447</v>
      </c>
      <c r="I29" s="113" t="s">
        <v>292</v>
      </c>
      <c r="J29" s="108" t="str">
        <f t="shared" si="0"/>
        <v>020901</v>
      </c>
      <c r="L29" s="8">
        <v>0.18</v>
      </c>
      <c r="N29" s="8">
        <v>0.18</v>
      </c>
      <c r="P29" s="8"/>
      <c r="R29" s="8">
        <v>0.18</v>
      </c>
      <c r="S29" s="8">
        <v>0.18</v>
      </c>
      <c r="T29" s="8">
        <v>0.18</v>
      </c>
      <c r="Y29" s="100">
        <f>(125001+130000)/2</f>
        <v>127500.5</v>
      </c>
    </row>
    <row r="30" spans="1:25" ht="15" customHeight="1" x14ac:dyDescent="0.25">
      <c r="A30" t="str">
        <f>Table1[[#This Row],[District name]]&amp;" "&amp;Table1[[#This Row],[District number]]</f>
        <v>ALVORD ISD 249901</v>
      </c>
      <c r="B30" t="s">
        <v>448</v>
      </c>
      <c r="C30" s="1"/>
      <c r="D30" t="s">
        <v>449</v>
      </c>
      <c r="E30" s="2" t="s">
        <v>402</v>
      </c>
      <c r="F30" s="137" t="s">
        <v>450</v>
      </c>
      <c r="G30" s="137" t="s">
        <v>451</v>
      </c>
      <c r="H30" s="137" t="s">
        <v>452</v>
      </c>
      <c r="I30" s="113" t="s">
        <v>292</v>
      </c>
      <c r="J30" s="108" t="str">
        <f t="shared" si="0"/>
        <v>249901</v>
      </c>
      <c r="L30" s="8">
        <v>0.19</v>
      </c>
      <c r="N30" s="8">
        <v>0.19</v>
      </c>
      <c r="P30" s="8"/>
      <c r="R30" s="8">
        <v>0.19</v>
      </c>
      <c r="S30" s="8">
        <v>0.19</v>
      </c>
      <c r="T30" s="8">
        <v>0.19</v>
      </c>
      <c r="Y30" s="100">
        <f>(130001+135000)/2</f>
        <v>132500.5</v>
      </c>
    </row>
    <row r="31" spans="1:25" ht="15" customHeight="1" x14ac:dyDescent="0.25">
      <c r="A31" t="str">
        <f>Table1[[#This Row],[District name]]&amp;" "&amp;Table1[[#This Row],[District number]]</f>
        <v>AMARILLO ISD 188901</v>
      </c>
      <c r="B31" t="s">
        <v>453</v>
      </c>
      <c r="C31" s="1"/>
      <c r="D31" t="s">
        <v>454</v>
      </c>
      <c r="E31" s="2" t="s">
        <v>356</v>
      </c>
      <c r="F31" s="137" t="s">
        <v>455</v>
      </c>
      <c r="G31" s="137" t="s">
        <v>456</v>
      </c>
      <c r="H31" s="137" t="s">
        <v>457</v>
      </c>
      <c r="I31" s="113" t="s">
        <v>292</v>
      </c>
      <c r="J31" s="108" t="str">
        <f t="shared" si="0"/>
        <v>188901</v>
      </c>
      <c r="L31" s="8">
        <v>0.2</v>
      </c>
      <c r="N31" s="8">
        <v>0.2</v>
      </c>
      <c r="P31" s="8"/>
      <c r="R31" s="8">
        <v>0.2</v>
      </c>
      <c r="S31" s="8">
        <v>0.2</v>
      </c>
      <c r="T31" s="8">
        <v>0.2</v>
      </c>
      <c r="U31" s="8"/>
      <c r="V31" s="8"/>
      <c r="W31" s="8"/>
      <c r="Y31" s="100">
        <f>(135001+140000)/2</f>
        <v>137500.5</v>
      </c>
    </row>
    <row r="32" spans="1:25" ht="15" customHeight="1" x14ac:dyDescent="0.25">
      <c r="A32" t="str">
        <f>Table1[[#This Row],[District name]]&amp;" "&amp;Table1[[#This Row],[District number]]</f>
        <v>AMBASSADORS PREPARATORY ACADEMY 084804</v>
      </c>
      <c r="B32" t="s">
        <v>458</v>
      </c>
      <c r="C32" s="1"/>
      <c r="D32" t="s">
        <v>459</v>
      </c>
      <c r="E32" s="2" t="s">
        <v>295</v>
      </c>
      <c r="F32" s="137" t="s">
        <v>460</v>
      </c>
      <c r="G32" s="137" t="s">
        <v>461</v>
      </c>
      <c r="H32" s="137" t="s">
        <v>462</v>
      </c>
      <c r="I32" s="113" t="s">
        <v>292</v>
      </c>
      <c r="J32" s="108" t="str">
        <f t="shared" si="0"/>
        <v>084804</v>
      </c>
      <c r="L32" s="8">
        <v>0.21</v>
      </c>
      <c r="N32" s="8">
        <v>0.21</v>
      </c>
      <c r="R32" s="8">
        <v>0.21</v>
      </c>
      <c r="S32" s="8">
        <v>0.21</v>
      </c>
      <c r="T32" s="8">
        <v>0.21</v>
      </c>
      <c r="Y32" s="100">
        <f>(140001+145000)/2</f>
        <v>142500.5</v>
      </c>
    </row>
    <row r="33" spans="1:25" ht="15" customHeight="1" x14ac:dyDescent="0.25">
      <c r="A33" t="str">
        <f>Table1[[#This Row],[District name]]&amp;" "&amp;Table1[[#This Row],[District number]]</f>
        <v>AMHERST ISD 140901</v>
      </c>
      <c r="B33" t="s">
        <v>463</v>
      </c>
      <c r="C33" s="1"/>
      <c r="D33" t="s">
        <v>464</v>
      </c>
      <c r="E33" s="2" t="s">
        <v>308</v>
      </c>
      <c r="F33" s="137" t="s">
        <v>465</v>
      </c>
      <c r="G33" s="137" t="s">
        <v>466</v>
      </c>
      <c r="H33" s="137" t="s">
        <v>467</v>
      </c>
      <c r="I33" s="113" t="s">
        <v>292</v>
      </c>
      <c r="J33" s="108" t="str">
        <f t="shared" si="0"/>
        <v>140901</v>
      </c>
      <c r="L33" s="8">
        <v>0.22</v>
      </c>
      <c r="N33" s="8">
        <v>0.22</v>
      </c>
      <c r="R33" s="8">
        <v>0.22</v>
      </c>
      <c r="S33" s="8">
        <v>0.22</v>
      </c>
      <c r="T33" s="8">
        <v>0.22</v>
      </c>
      <c r="Y33" s="100">
        <f>(145001+150000)/2</f>
        <v>147500.5</v>
      </c>
    </row>
    <row r="34" spans="1:25" ht="15" customHeight="1" x14ac:dyDescent="0.25">
      <c r="A34" t="str">
        <f>Table1[[#This Row],[District name]]&amp;" "&amp;Table1[[#This Row],[District number]]</f>
        <v>AMIGOS POR VIDA-FRIENDS FOR LIFE PUB CHTR SCH 101819</v>
      </c>
      <c r="B34" t="s">
        <v>468</v>
      </c>
      <c r="C34" s="1"/>
      <c r="D34" t="s">
        <v>469</v>
      </c>
      <c r="E34" s="2" t="s">
        <v>295</v>
      </c>
      <c r="F34" s="137" t="s">
        <v>470</v>
      </c>
      <c r="G34" s="137" t="s">
        <v>471</v>
      </c>
      <c r="H34" s="137" t="s">
        <v>472</v>
      </c>
      <c r="I34" s="113" t="s">
        <v>292</v>
      </c>
      <c r="J34" s="108" t="str">
        <f t="shared" si="0"/>
        <v>101819</v>
      </c>
      <c r="L34" s="8">
        <v>0.23</v>
      </c>
      <c r="N34" s="8">
        <v>0.23</v>
      </c>
      <c r="R34" s="8">
        <v>0.23</v>
      </c>
      <c r="S34" s="8">
        <v>0.23</v>
      </c>
      <c r="T34" s="8">
        <v>0.23</v>
      </c>
      <c r="U34" s="36"/>
      <c r="V34" s="36"/>
      <c r="W34" s="36"/>
      <c r="Y34" s="100">
        <f>(150001+155000)/2</f>
        <v>152500.5</v>
      </c>
    </row>
    <row r="35" spans="1:25" ht="15" customHeight="1" x14ac:dyDescent="0.25">
      <c r="A35" t="str">
        <f>Table1[[#This Row],[District name]]&amp;" "&amp;Table1[[#This Row],[District number]]</f>
        <v>ANAHUAC ISD 036901</v>
      </c>
      <c r="B35" t="s">
        <v>473</v>
      </c>
      <c r="C35" s="1"/>
      <c r="D35" t="s">
        <v>474</v>
      </c>
      <c r="E35" s="2" t="s">
        <v>295</v>
      </c>
      <c r="F35" s="137" t="s">
        <v>475</v>
      </c>
      <c r="G35" s="137" t="s">
        <v>476</v>
      </c>
      <c r="H35" s="137" t="s">
        <v>477</v>
      </c>
      <c r="I35" s="113" t="s">
        <v>292</v>
      </c>
      <c r="J35" s="108" t="str">
        <f t="shared" si="0"/>
        <v>036901</v>
      </c>
      <c r="L35" s="8">
        <v>0.24</v>
      </c>
      <c r="N35" s="8">
        <v>0.24</v>
      </c>
      <c r="R35" s="8">
        <v>0.24</v>
      </c>
      <c r="S35" s="8">
        <v>0.24</v>
      </c>
      <c r="T35" s="8">
        <v>0.24</v>
      </c>
      <c r="Y35" s="100">
        <f>(155001+160000)/2</f>
        <v>157500.5</v>
      </c>
    </row>
    <row r="36" spans="1:25" ht="15" customHeight="1" x14ac:dyDescent="0.25">
      <c r="A36" t="str">
        <f>Table1[[#This Row],[District name]]&amp;" "&amp;Table1[[#This Row],[District number]]</f>
        <v>ANDERSON-SHIRO CISD 093901</v>
      </c>
      <c r="B36" t="s">
        <v>478</v>
      </c>
      <c r="C36" s="1"/>
      <c r="D36" t="s">
        <v>479</v>
      </c>
      <c r="E36" s="2" t="s">
        <v>480</v>
      </c>
      <c r="F36" s="137" t="s">
        <v>481</v>
      </c>
      <c r="G36" s="137" t="s">
        <v>482</v>
      </c>
      <c r="H36" s="137" t="s">
        <v>483</v>
      </c>
      <c r="I36" s="113" t="s">
        <v>292</v>
      </c>
      <c r="J36" s="108" t="str">
        <f t="shared" si="0"/>
        <v>093901</v>
      </c>
      <c r="L36" s="8">
        <v>0.25</v>
      </c>
      <c r="N36" s="8">
        <v>0.25</v>
      </c>
      <c r="R36" s="8">
        <v>0.25</v>
      </c>
      <c r="S36" s="8">
        <v>0.25</v>
      </c>
      <c r="T36" s="8">
        <v>0.25</v>
      </c>
      <c r="Y36" s="100">
        <f>(160001+165000)/2</f>
        <v>162500.5</v>
      </c>
    </row>
    <row r="37" spans="1:25" ht="15" customHeight="1" x14ac:dyDescent="0.25">
      <c r="A37" t="str">
        <f>Table1[[#This Row],[District name]]&amp;" "&amp;Table1[[#This Row],[District number]]</f>
        <v>ANDREWS ISD 002901</v>
      </c>
      <c r="B37" t="s">
        <v>484</v>
      </c>
      <c r="C37" s="1"/>
      <c r="D37" t="s">
        <v>485</v>
      </c>
      <c r="E37" s="2" t="s">
        <v>430</v>
      </c>
      <c r="F37" s="137" t="s">
        <v>486</v>
      </c>
      <c r="G37" s="137" t="s">
        <v>487</v>
      </c>
      <c r="H37" s="137" t="s">
        <v>488</v>
      </c>
      <c r="I37" s="113" t="s">
        <v>292</v>
      </c>
      <c r="J37" s="108" t="str">
        <f t="shared" si="0"/>
        <v>002901</v>
      </c>
      <c r="L37" s="8">
        <v>0.26</v>
      </c>
      <c r="N37" s="8">
        <v>0.26</v>
      </c>
      <c r="R37" s="8">
        <v>0.26</v>
      </c>
      <c r="S37" s="8">
        <v>0.26</v>
      </c>
      <c r="T37" s="8">
        <v>0.26</v>
      </c>
      <c r="Y37" s="100">
        <f>(165001+170000)/2</f>
        <v>167500.5</v>
      </c>
    </row>
    <row r="38" spans="1:25" ht="15" customHeight="1" x14ac:dyDescent="0.25">
      <c r="A38" t="str">
        <f>Table1[[#This Row],[District name]]&amp;" "&amp;Table1[[#This Row],[District number]]</f>
        <v>ANGLETON ISD 020902</v>
      </c>
      <c r="B38" t="s">
        <v>489</v>
      </c>
      <c r="C38" s="1"/>
      <c r="D38" t="s">
        <v>490</v>
      </c>
      <c r="E38" s="2" t="s">
        <v>295</v>
      </c>
      <c r="F38" s="137" t="s">
        <v>491</v>
      </c>
      <c r="G38" s="137" t="s">
        <v>492</v>
      </c>
      <c r="H38" s="137" t="s">
        <v>493</v>
      </c>
      <c r="I38" s="113" t="s">
        <v>292</v>
      </c>
      <c r="J38" s="108" t="str">
        <f t="shared" si="0"/>
        <v>020902</v>
      </c>
      <c r="L38" s="8">
        <v>0.27</v>
      </c>
      <c r="N38" s="8">
        <v>0.27</v>
      </c>
      <c r="R38" s="8">
        <v>0.27</v>
      </c>
      <c r="S38" s="8">
        <v>0.27</v>
      </c>
      <c r="T38" s="8">
        <v>0.27</v>
      </c>
    </row>
    <row r="39" spans="1:25" ht="15" customHeight="1" x14ac:dyDescent="0.25">
      <c r="A39" t="str">
        <f>Table1[[#This Row],[District name]]&amp;" "&amp;Table1[[#This Row],[District number]]</f>
        <v>ANNA ISD 043902</v>
      </c>
      <c r="B39" t="s">
        <v>494</v>
      </c>
      <c r="C39" s="1"/>
      <c r="D39" t="s">
        <v>495</v>
      </c>
      <c r="E39" s="2" t="s">
        <v>288</v>
      </c>
      <c r="F39" s="137" t="s">
        <v>496</v>
      </c>
      <c r="G39" s="137" t="s">
        <v>497</v>
      </c>
      <c r="H39" s="137" t="s">
        <v>498</v>
      </c>
      <c r="I39" s="113" t="s">
        <v>292</v>
      </c>
      <c r="J39" s="108" t="str">
        <f t="shared" si="0"/>
        <v>043902</v>
      </c>
      <c r="L39" s="8">
        <v>0.28000000000000003</v>
      </c>
      <c r="N39" s="8">
        <v>0.28000000000000003</v>
      </c>
      <c r="R39" s="8">
        <v>0.28000000000000003</v>
      </c>
      <c r="S39" s="8">
        <v>0.28000000000000003</v>
      </c>
      <c r="T39" s="8">
        <v>0.28000000000000003</v>
      </c>
    </row>
    <row r="40" spans="1:25" ht="15" customHeight="1" x14ac:dyDescent="0.25">
      <c r="A40" t="str">
        <f>Table1[[#This Row],[District name]]&amp;" "&amp;Table1[[#This Row],[District number]]</f>
        <v>ANSON ISD 127901</v>
      </c>
      <c r="B40" t="s">
        <v>499</v>
      </c>
      <c r="C40" s="1"/>
      <c r="D40" t="s">
        <v>500</v>
      </c>
      <c r="E40" s="2" t="s">
        <v>314</v>
      </c>
      <c r="F40" s="137" t="s">
        <v>501</v>
      </c>
      <c r="G40" s="137" t="s">
        <v>502</v>
      </c>
      <c r="H40" s="137" t="s">
        <v>503</v>
      </c>
      <c r="I40" s="113" t="s">
        <v>292</v>
      </c>
      <c r="J40" s="108" t="str">
        <f t="shared" si="0"/>
        <v>127901</v>
      </c>
      <c r="L40" s="8">
        <v>0.28999999999999998</v>
      </c>
      <c r="N40" s="8">
        <v>0.28999999999999998</v>
      </c>
      <c r="R40" s="8">
        <v>0.28999999999999998</v>
      </c>
      <c r="S40" s="8">
        <v>0.28999999999999998</v>
      </c>
      <c r="T40" s="8">
        <v>0.28999999999999998</v>
      </c>
      <c r="W40" s="6" t="s">
        <v>504</v>
      </c>
    </row>
    <row r="41" spans="1:25" ht="15" customHeight="1" x14ac:dyDescent="0.25">
      <c r="A41" t="str">
        <f>Table1[[#This Row],[District name]]&amp;" "&amp;Table1[[#This Row],[District number]]</f>
        <v>ANTHONY ISD 071906</v>
      </c>
      <c r="B41" t="s">
        <v>505</v>
      </c>
      <c r="C41" s="1"/>
      <c r="D41" t="s">
        <v>506</v>
      </c>
      <c r="E41" s="2" t="s">
        <v>507</v>
      </c>
      <c r="F41" s="137" t="s">
        <v>508</v>
      </c>
      <c r="G41" s="137" t="s">
        <v>509</v>
      </c>
      <c r="H41" s="137" t="s">
        <v>510</v>
      </c>
      <c r="I41" s="113" t="s">
        <v>292</v>
      </c>
      <c r="J41" s="108" t="str">
        <f t="shared" si="0"/>
        <v>071906</v>
      </c>
      <c r="L41" s="8">
        <v>0.3</v>
      </c>
      <c r="N41" s="8">
        <v>0.3</v>
      </c>
      <c r="R41" s="8">
        <v>0.3</v>
      </c>
      <c r="S41" s="8">
        <v>0.3</v>
      </c>
      <c r="T41" s="8">
        <v>0.3</v>
      </c>
      <c r="W41" s="6" t="s">
        <v>511</v>
      </c>
      <c r="X41" t="s">
        <v>512</v>
      </c>
      <c r="Y41" t="s">
        <v>513</v>
      </c>
    </row>
    <row r="42" spans="1:25" ht="15" customHeight="1" x14ac:dyDescent="0.25">
      <c r="A42" t="str">
        <f>Table1[[#This Row],[District name]]&amp;" "&amp;Table1[[#This Row],[District number]]</f>
        <v>ANTON ISD 110901</v>
      </c>
      <c r="B42" t="s">
        <v>514</v>
      </c>
      <c r="C42" s="1"/>
      <c r="D42" t="s">
        <v>515</v>
      </c>
      <c r="E42" s="2" t="s">
        <v>308</v>
      </c>
      <c r="F42" s="137" t="s">
        <v>516</v>
      </c>
      <c r="G42" s="137" t="s">
        <v>517</v>
      </c>
      <c r="H42" s="137" t="s">
        <v>518</v>
      </c>
      <c r="I42" s="113" t="s">
        <v>292</v>
      </c>
      <c r="J42" s="108" t="str">
        <f t="shared" si="0"/>
        <v>110901</v>
      </c>
      <c r="L42" s="8">
        <v>0.31</v>
      </c>
      <c r="N42" s="8">
        <v>0.31</v>
      </c>
      <c r="R42" s="8">
        <v>0.31</v>
      </c>
      <c r="S42" s="8">
        <v>0.31</v>
      </c>
      <c r="T42" s="8">
        <v>0.31</v>
      </c>
      <c r="W42" s="213">
        <v>1</v>
      </c>
      <c r="X42" t="b">
        <v>0</v>
      </c>
      <c r="Y42" t="b">
        <v>0</v>
      </c>
    </row>
    <row r="43" spans="1:25" ht="15" customHeight="1" x14ac:dyDescent="0.25">
      <c r="A43" t="str">
        <f>Table1[[#This Row],[District name]]&amp;" "&amp;Table1[[#This Row],[District number]]</f>
        <v>APPLE SPRINGS ISD 228905</v>
      </c>
      <c r="B43" t="s">
        <v>519</v>
      </c>
      <c r="C43" s="1"/>
      <c r="D43" t="s">
        <v>520</v>
      </c>
      <c r="E43" s="2" t="s">
        <v>480</v>
      </c>
      <c r="F43" s="137" t="s">
        <v>521</v>
      </c>
      <c r="G43" s="137" t="s">
        <v>522</v>
      </c>
      <c r="H43" s="137" t="s">
        <v>523</v>
      </c>
      <c r="I43" s="113" t="s">
        <v>292</v>
      </c>
      <c r="J43" s="108" t="str">
        <f t="shared" si="0"/>
        <v>228905</v>
      </c>
      <c r="L43" s="8">
        <v>0.32</v>
      </c>
      <c r="N43" s="8">
        <v>0.32</v>
      </c>
      <c r="R43" s="8">
        <v>0.32</v>
      </c>
      <c r="S43" s="8">
        <v>0.32</v>
      </c>
      <c r="T43" s="8">
        <v>0.32</v>
      </c>
      <c r="W43" s="213">
        <v>2</v>
      </c>
      <c r="X43" t="b">
        <v>0</v>
      </c>
      <c r="Y43" t="b">
        <v>0</v>
      </c>
    </row>
    <row r="44" spans="1:25" ht="15" customHeight="1" x14ac:dyDescent="0.25">
      <c r="A44" t="str">
        <f>Table1[[#This Row],[District name]]&amp;" "&amp;Table1[[#This Row],[District number]]</f>
        <v>AQUILLA ISD 109912</v>
      </c>
      <c r="B44" t="s">
        <v>524</v>
      </c>
      <c r="C44" s="1"/>
      <c r="D44" t="s">
        <v>525</v>
      </c>
      <c r="E44" s="2" t="s">
        <v>301</v>
      </c>
      <c r="F44" s="137" t="s">
        <v>526</v>
      </c>
      <c r="G44" s="137" t="s">
        <v>527</v>
      </c>
      <c r="H44" s="137" t="s">
        <v>528</v>
      </c>
      <c r="I44" s="113" t="s">
        <v>292</v>
      </c>
      <c r="J44" s="108" t="str">
        <f t="shared" si="0"/>
        <v>109912</v>
      </c>
      <c r="L44" s="8">
        <v>0.33</v>
      </c>
      <c r="N44" s="8">
        <v>0.33</v>
      </c>
      <c r="R44" s="8">
        <v>0.33</v>
      </c>
      <c r="S44" s="8">
        <v>0.33</v>
      </c>
      <c r="T44" s="8">
        <v>0.33</v>
      </c>
      <c r="W44" s="213">
        <v>3</v>
      </c>
      <c r="X44" t="b">
        <v>0</v>
      </c>
      <c r="Y44" t="b">
        <v>0</v>
      </c>
    </row>
    <row r="45" spans="1:25" ht="15" customHeight="1" x14ac:dyDescent="0.25">
      <c r="A45" t="str">
        <f>Table1[[#This Row],[District name]]&amp;" "&amp;Table1[[#This Row],[District number]]</f>
        <v>ARANSAS COUNTY ISD 004901</v>
      </c>
      <c r="B45" t="s">
        <v>529</v>
      </c>
      <c r="C45" s="1"/>
      <c r="D45" t="s">
        <v>530</v>
      </c>
      <c r="E45" s="2" t="s">
        <v>369</v>
      </c>
      <c r="F45" s="137" t="s">
        <v>531</v>
      </c>
      <c r="G45" s="137" t="s">
        <v>532</v>
      </c>
      <c r="H45" s="137" t="s">
        <v>533</v>
      </c>
      <c r="I45" s="113" t="s">
        <v>292</v>
      </c>
      <c r="J45" s="108" t="str">
        <f t="shared" si="0"/>
        <v>004901</v>
      </c>
      <c r="L45" s="8">
        <v>0.34</v>
      </c>
      <c r="N45" s="8">
        <v>0.34</v>
      </c>
      <c r="R45" s="8">
        <v>0.34</v>
      </c>
      <c r="S45" s="8">
        <v>0.34</v>
      </c>
      <c r="T45" s="8">
        <v>0.34</v>
      </c>
      <c r="W45" s="213">
        <v>4</v>
      </c>
      <c r="X45" t="b">
        <v>0</v>
      </c>
      <c r="Y45" t="b">
        <v>0</v>
      </c>
    </row>
    <row r="46" spans="1:25" ht="15" customHeight="1" x14ac:dyDescent="0.25">
      <c r="A46" t="str">
        <f>Table1[[#This Row],[District name]]&amp;" "&amp;Table1[[#This Row],[District number]]</f>
        <v>ARANSAS PASS ISD 205901</v>
      </c>
      <c r="B46" t="s">
        <v>534</v>
      </c>
      <c r="C46" s="1"/>
      <c r="D46" t="s">
        <v>535</v>
      </c>
      <c r="E46" s="2" t="s">
        <v>369</v>
      </c>
      <c r="F46" s="137" t="s">
        <v>536</v>
      </c>
      <c r="G46" s="137" t="s">
        <v>537</v>
      </c>
      <c r="H46" s="137" t="s">
        <v>538</v>
      </c>
      <c r="I46" s="113" t="s">
        <v>292</v>
      </c>
      <c r="J46" s="108" t="str">
        <f t="shared" si="0"/>
        <v>205901</v>
      </c>
      <c r="L46" s="8">
        <v>0.35000000000000003</v>
      </c>
      <c r="N46" s="8">
        <v>0.35000000000000003</v>
      </c>
      <c r="R46" s="8">
        <v>0.35000000000000003</v>
      </c>
      <c r="S46" s="8">
        <v>0.35000000000000003</v>
      </c>
      <c r="T46" s="8">
        <v>0.35000000000000003</v>
      </c>
      <c r="W46" s="213">
        <v>5</v>
      </c>
      <c r="X46" t="b">
        <v>0</v>
      </c>
      <c r="Y46" t="b">
        <v>0</v>
      </c>
    </row>
    <row r="47" spans="1:25" ht="15" customHeight="1" x14ac:dyDescent="0.25">
      <c r="A47" t="str">
        <f>Table1[[#This Row],[District name]]&amp;" "&amp;Table1[[#This Row],[District number]]</f>
        <v>ARCHER CITY ISD 005901</v>
      </c>
      <c r="B47" t="s">
        <v>539</v>
      </c>
      <c r="C47" s="1"/>
      <c r="D47" t="s">
        <v>540</v>
      </c>
      <c r="E47" s="2" t="s">
        <v>541</v>
      </c>
      <c r="F47" s="137" t="s">
        <v>542</v>
      </c>
      <c r="G47" s="137" t="s">
        <v>543</v>
      </c>
      <c r="H47" s="137" t="s">
        <v>544</v>
      </c>
      <c r="I47" s="113" t="s">
        <v>292</v>
      </c>
      <c r="J47" s="108" t="str">
        <f t="shared" si="0"/>
        <v>005901</v>
      </c>
      <c r="L47" s="8">
        <v>0.36</v>
      </c>
      <c r="N47" s="8">
        <v>0.36</v>
      </c>
      <c r="R47" s="8">
        <v>0.36</v>
      </c>
      <c r="S47" s="8">
        <v>0.36</v>
      </c>
      <c r="T47" s="8">
        <v>0.36</v>
      </c>
      <c r="W47" s="213">
        <v>6</v>
      </c>
      <c r="X47" t="b">
        <v>0</v>
      </c>
      <c r="Y47" t="b">
        <v>0</v>
      </c>
    </row>
    <row r="48" spans="1:25" ht="15" customHeight="1" x14ac:dyDescent="0.25">
      <c r="A48" t="str">
        <f>Table1[[#This Row],[District name]]&amp;" "&amp;Table1[[#This Row],[District number]]</f>
        <v>ARGYLE ISD 061910</v>
      </c>
      <c r="B48" t="s">
        <v>545</v>
      </c>
      <c r="C48" s="1"/>
      <c r="D48" t="s">
        <v>546</v>
      </c>
      <c r="E48" s="2" t="s">
        <v>402</v>
      </c>
      <c r="F48" s="137" t="s">
        <v>547</v>
      </c>
      <c r="G48" s="137" t="s">
        <v>548</v>
      </c>
      <c r="H48" s="137" t="s">
        <v>549</v>
      </c>
      <c r="I48" s="113" t="s">
        <v>292</v>
      </c>
      <c r="J48" s="108" t="str">
        <f t="shared" si="0"/>
        <v>061910</v>
      </c>
      <c r="L48" s="8">
        <v>0.37</v>
      </c>
      <c r="N48" s="8">
        <v>0.37</v>
      </c>
      <c r="R48" s="8">
        <v>0.37</v>
      </c>
      <c r="S48" s="8">
        <v>0.37</v>
      </c>
      <c r="T48" s="8">
        <v>0.37</v>
      </c>
      <c r="W48" s="213">
        <v>7</v>
      </c>
      <c r="X48" t="b">
        <v>0</v>
      </c>
      <c r="Y48" t="b">
        <v>0</v>
      </c>
    </row>
    <row r="49" spans="1:25" ht="15" customHeight="1" x14ac:dyDescent="0.25">
      <c r="A49" t="str">
        <f>Table1[[#This Row],[District name]]&amp;" "&amp;Table1[[#This Row],[District number]]</f>
        <v>ARISTOI CLASSICAL ACADEMY 101803</v>
      </c>
      <c r="B49" t="s">
        <v>550</v>
      </c>
      <c r="C49" s="1"/>
      <c r="D49" t="s">
        <v>551</v>
      </c>
      <c r="E49" s="2" t="s">
        <v>295</v>
      </c>
      <c r="F49" s="137" t="s">
        <v>552</v>
      </c>
      <c r="G49" s="137" t="s">
        <v>553</v>
      </c>
      <c r="H49" s="137" t="s">
        <v>554</v>
      </c>
      <c r="I49" s="113" t="s">
        <v>292</v>
      </c>
      <c r="J49" s="108" t="str">
        <f t="shared" si="0"/>
        <v>101803</v>
      </c>
      <c r="L49" s="8">
        <v>0.38</v>
      </c>
      <c r="N49" s="8">
        <v>0.38</v>
      </c>
      <c r="R49" s="8">
        <v>0.38</v>
      </c>
      <c r="S49" s="8">
        <v>0.38</v>
      </c>
      <c r="T49" s="8">
        <v>0.38</v>
      </c>
      <c r="W49" s="213">
        <v>8</v>
      </c>
      <c r="X49" t="b">
        <v>0</v>
      </c>
      <c r="Y49" t="b">
        <v>0</v>
      </c>
    </row>
    <row r="50" spans="1:25" ht="15" customHeight="1" x14ac:dyDescent="0.25">
      <c r="A50" t="str">
        <f>Table1[[#This Row],[District name]]&amp;" "&amp;Table1[[#This Row],[District number]]</f>
        <v>ARLINGTON CLASSICS ACADEMY 220802</v>
      </c>
      <c r="B50" t="s">
        <v>555</v>
      </c>
      <c r="C50" s="1"/>
      <c r="D50" t="s">
        <v>556</v>
      </c>
      <c r="E50" s="2" t="s">
        <v>402</v>
      </c>
      <c r="F50" s="137" t="s">
        <v>557</v>
      </c>
      <c r="G50" s="137" t="s">
        <v>558</v>
      </c>
      <c r="H50" s="137" t="s">
        <v>559</v>
      </c>
      <c r="I50" s="113" t="s">
        <v>292</v>
      </c>
      <c r="J50" s="108" t="str">
        <f t="shared" si="0"/>
        <v>220802</v>
      </c>
      <c r="L50" s="8">
        <v>0.39</v>
      </c>
      <c r="N50" s="8">
        <v>0.39</v>
      </c>
      <c r="R50" s="8">
        <v>0.39</v>
      </c>
      <c r="S50" s="8">
        <v>0.39</v>
      </c>
      <c r="T50" s="8">
        <v>0.39</v>
      </c>
      <c r="W50" s="213">
        <v>9</v>
      </c>
      <c r="X50" t="b">
        <v>0</v>
      </c>
      <c r="Y50" t="b">
        <v>0</v>
      </c>
    </row>
    <row r="51" spans="1:25" ht="15" customHeight="1" x14ac:dyDescent="0.25">
      <c r="A51" t="str">
        <f>Table1[[#This Row],[District name]]&amp;" "&amp;Table1[[#This Row],[District number]]</f>
        <v>ARLINGTON ISD 220901</v>
      </c>
      <c r="B51" t="s">
        <v>560</v>
      </c>
      <c r="C51" s="1"/>
      <c r="D51" t="s">
        <v>561</v>
      </c>
      <c r="E51" s="2" t="s">
        <v>402</v>
      </c>
      <c r="F51" s="137" t="s">
        <v>562</v>
      </c>
      <c r="G51" s="137" t="s">
        <v>563</v>
      </c>
      <c r="H51" s="137" t="s">
        <v>564</v>
      </c>
      <c r="I51" s="113" t="s">
        <v>292</v>
      </c>
      <c r="J51" s="108" t="str">
        <f t="shared" si="0"/>
        <v>220901</v>
      </c>
      <c r="L51" s="8">
        <v>0.4</v>
      </c>
      <c r="N51" s="8">
        <v>0.4</v>
      </c>
      <c r="R51" s="8">
        <v>0.4</v>
      </c>
      <c r="S51" s="8">
        <v>0.4</v>
      </c>
      <c r="T51" s="8">
        <v>0.4</v>
      </c>
      <c r="W51" s="213">
        <v>10</v>
      </c>
      <c r="X51" t="b">
        <v>0</v>
      </c>
      <c r="Y51" t="b">
        <v>0</v>
      </c>
    </row>
    <row r="52" spans="1:25" ht="15" customHeight="1" x14ac:dyDescent="0.25">
      <c r="A52" t="str">
        <f>Table1[[#This Row],[District name]]&amp;" "&amp;Table1[[#This Row],[District number]]</f>
        <v>ARP ISD 212901</v>
      </c>
      <c r="B52" t="s">
        <v>565</v>
      </c>
      <c r="C52" s="1"/>
      <c r="D52" t="s">
        <v>566</v>
      </c>
      <c r="E52" s="2" t="s">
        <v>383</v>
      </c>
      <c r="F52" s="137" t="s">
        <v>567</v>
      </c>
      <c r="G52" s="137" t="s">
        <v>568</v>
      </c>
      <c r="H52" s="137" t="s">
        <v>569</v>
      </c>
      <c r="I52" s="113" t="s">
        <v>292</v>
      </c>
      <c r="J52" s="108" t="str">
        <f t="shared" si="0"/>
        <v>212901</v>
      </c>
      <c r="L52" s="8">
        <v>0.41000000000000003</v>
      </c>
      <c r="N52" s="8">
        <v>0.41000000000000003</v>
      </c>
      <c r="R52" s="8">
        <v>0.41000000000000003</v>
      </c>
      <c r="S52" s="8">
        <v>0.41000000000000003</v>
      </c>
      <c r="T52" s="8">
        <v>0.41000000000000003</v>
      </c>
      <c r="W52" s="213">
        <v>11</v>
      </c>
      <c r="X52" t="b">
        <v>0</v>
      </c>
      <c r="Y52" t="b">
        <v>0</v>
      </c>
    </row>
    <row r="53" spans="1:25" ht="15" customHeight="1" x14ac:dyDescent="0.25">
      <c r="A53" t="str">
        <f>Table1[[#This Row],[District name]]&amp;" "&amp;Table1[[#This Row],[District number]]</f>
        <v>ARROW ACADEMY 021805</v>
      </c>
      <c r="B53" t="s">
        <v>570</v>
      </c>
      <c r="C53" s="1"/>
      <c r="D53" t="s">
        <v>571</v>
      </c>
      <c r="E53" s="2" t="s">
        <v>480</v>
      </c>
      <c r="F53" s="137" t="s">
        <v>572</v>
      </c>
      <c r="G53" s="137" t="s">
        <v>573</v>
      </c>
      <c r="H53" s="137" t="s">
        <v>574</v>
      </c>
      <c r="I53" s="113" t="s">
        <v>292</v>
      </c>
      <c r="J53" s="108" t="str">
        <f t="shared" si="0"/>
        <v>021805</v>
      </c>
      <c r="L53" s="8">
        <v>0.42</v>
      </c>
      <c r="N53" s="8">
        <v>0.42</v>
      </c>
      <c r="R53" s="8">
        <v>0.42</v>
      </c>
      <c r="S53" s="8">
        <v>0.42</v>
      </c>
      <c r="T53" s="8">
        <v>0.42</v>
      </c>
      <c r="W53" s="213">
        <v>12</v>
      </c>
      <c r="X53" t="b">
        <v>0</v>
      </c>
      <c r="Y53" t="b">
        <v>0</v>
      </c>
    </row>
    <row r="54" spans="1:25" ht="15" customHeight="1" x14ac:dyDescent="0.25">
      <c r="A54" t="str">
        <f>Table1[[#This Row],[District name]]&amp;" "&amp;Table1[[#This Row],[District number]]</f>
        <v>ASPERMONT ISD 217901</v>
      </c>
      <c r="B54" t="s">
        <v>575</v>
      </c>
      <c r="C54" s="1"/>
      <c r="D54" t="s">
        <v>576</v>
      </c>
      <c r="E54" s="2" t="s">
        <v>314</v>
      </c>
      <c r="F54" s="137" t="s">
        <v>577</v>
      </c>
      <c r="G54" s="137" t="s">
        <v>578</v>
      </c>
      <c r="H54" s="137" t="s">
        <v>579</v>
      </c>
      <c r="I54" s="113" t="s">
        <v>292</v>
      </c>
      <c r="J54" s="108" t="str">
        <f t="shared" si="0"/>
        <v>217901</v>
      </c>
      <c r="L54" s="8">
        <v>0.43</v>
      </c>
      <c r="N54" s="8">
        <v>0.43</v>
      </c>
      <c r="R54" s="8">
        <v>0.43</v>
      </c>
      <c r="S54" s="8">
        <v>0.43</v>
      </c>
      <c r="T54" s="8">
        <v>0.43</v>
      </c>
      <c r="W54" s="213"/>
    </row>
    <row r="55" spans="1:25" ht="15" customHeight="1" x14ac:dyDescent="0.25">
      <c r="A55" t="str">
        <f>Table1[[#This Row],[District name]]&amp;" "&amp;Table1[[#This Row],[District number]]</f>
        <v>ATHENS ISD 107901</v>
      </c>
      <c r="B55" t="s">
        <v>580</v>
      </c>
      <c r="C55" s="1"/>
      <c r="D55" t="s">
        <v>581</v>
      </c>
      <c r="E55" s="2" t="s">
        <v>383</v>
      </c>
      <c r="F55" s="137" t="s">
        <v>582</v>
      </c>
      <c r="G55" s="137" t="s">
        <v>583</v>
      </c>
      <c r="H55" s="137" t="s">
        <v>584</v>
      </c>
      <c r="I55" s="113" t="s">
        <v>292</v>
      </c>
      <c r="J55" s="108" t="str">
        <f t="shared" si="0"/>
        <v>107901</v>
      </c>
      <c r="L55" s="8">
        <v>0.44</v>
      </c>
      <c r="N55" s="8">
        <v>0.44</v>
      </c>
      <c r="R55" s="8">
        <v>0.44</v>
      </c>
      <c r="S55" s="8">
        <v>0.44</v>
      </c>
      <c r="T55" s="8">
        <v>0.44</v>
      </c>
      <c r="W55" s="213"/>
    </row>
    <row r="56" spans="1:25" ht="15" customHeight="1" x14ac:dyDescent="0.25">
      <c r="A56" t="str">
        <f>Table1[[#This Row],[District name]]&amp;" "&amp;Table1[[#This Row],[District number]]</f>
        <v>ATLANTA ISD 034901</v>
      </c>
      <c r="B56" t="s">
        <v>585</v>
      </c>
      <c r="C56" s="1"/>
      <c r="D56" t="s">
        <v>586</v>
      </c>
      <c r="E56" s="2" t="s">
        <v>587</v>
      </c>
      <c r="F56" s="137" t="s">
        <v>588</v>
      </c>
      <c r="G56" s="137" t="s">
        <v>589</v>
      </c>
      <c r="H56" s="137" t="s">
        <v>590</v>
      </c>
      <c r="I56" s="113" t="s">
        <v>292</v>
      </c>
      <c r="J56" s="108" t="str">
        <f t="shared" si="0"/>
        <v>034901</v>
      </c>
      <c r="L56" s="8">
        <v>0.45</v>
      </c>
      <c r="N56" s="8">
        <v>0.45</v>
      </c>
      <c r="R56" s="8">
        <v>0.45</v>
      </c>
      <c r="S56" s="8">
        <v>0.45</v>
      </c>
      <c r="T56" s="8">
        <v>0.45</v>
      </c>
      <c r="W56" s="213"/>
    </row>
    <row r="57" spans="1:25" ht="15" customHeight="1" x14ac:dyDescent="0.25">
      <c r="A57" t="str">
        <f>Table1[[#This Row],[District name]]&amp;" "&amp;Table1[[#This Row],[District number]]</f>
        <v>AUBREY ISD 061907</v>
      </c>
      <c r="B57" t="s">
        <v>591</v>
      </c>
      <c r="C57" s="1"/>
      <c r="D57" t="s">
        <v>592</v>
      </c>
      <c r="E57" s="2" t="s">
        <v>402</v>
      </c>
      <c r="F57" s="137" t="s">
        <v>593</v>
      </c>
      <c r="G57" s="137" t="s">
        <v>594</v>
      </c>
      <c r="H57" s="137" t="s">
        <v>595</v>
      </c>
      <c r="I57" s="113" t="s">
        <v>292</v>
      </c>
      <c r="J57" s="108" t="str">
        <f t="shared" si="0"/>
        <v>061907</v>
      </c>
      <c r="L57" s="8">
        <v>0.46</v>
      </c>
      <c r="N57" s="8">
        <v>0.46</v>
      </c>
      <c r="R57" s="8">
        <v>0.46</v>
      </c>
      <c r="S57" s="8">
        <v>0.46</v>
      </c>
      <c r="T57" s="8">
        <v>0.46</v>
      </c>
    </row>
    <row r="58" spans="1:25" ht="15" customHeight="1" x14ac:dyDescent="0.25">
      <c r="A58" t="str">
        <f>Table1[[#This Row],[District name]]&amp;" "&amp;Table1[[#This Row],[District number]]</f>
        <v>AUSTIN ACHIEVE PUBLIC SCHOOLS 227825</v>
      </c>
      <c r="B58" t="s">
        <v>596</v>
      </c>
      <c r="C58" s="1"/>
      <c r="D58" t="s">
        <v>597</v>
      </c>
      <c r="E58" s="2" t="s">
        <v>598</v>
      </c>
      <c r="F58" s="137" t="s">
        <v>599</v>
      </c>
      <c r="G58" s="137" t="s">
        <v>600</v>
      </c>
      <c r="H58" s="137" t="s">
        <v>601</v>
      </c>
      <c r="I58" s="113" t="s">
        <v>292</v>
      </c>
      <c r="J58" s="108" t="str">
        <f t="shared" si="0"/>
        <v>227825</v>
      </c>
      <c r="L58" s="8">
        <v>0.47000000000000003</v>
      </c>
      <c r="N58" s="8">
        <v>0.47000000000000003</v>
      </c>
      <c r="R58" s="8">
        <v>0.47000000000000003</v>
      </c>
      <c r="S58" s="8">
        <v>0.47000000000000003</v>
      </c>
      <c r="T58" s="8">
        <v>0.47000000000000003</v>
      </c>
    </row>
    <row r="59" spans="1:25" ht="15" customHeight="1" x14ac:dyDescent="0.25">
      <c r="A59" t="str">
        <f>Table1[[#This Row],[District name]]&amp;" "&amp;Table1[[#This Row],[District number]]</f>
        <v>AUSTIN DISCOVERY SCHOOL 227821</v>
      </c>
      <c r="B59" t="s">
        <v>602</v>
      </c>
      <c r="C59" s="1"/>
      <c r="D59" t="s">
        <v>603</v>
      </c>
      <c r="E59" s="2" t="s">
        <v>598</v>
      </c>
      <c r="F59" s="137" t="s">
        <v>604</v>
      </c>
      <c r="G59" s="137" t="s">
        <v>605</v>
      </c>
      <c r="H59" s="137" t="s">
        <v>606</v>
      </c>
      <c r="I59" s="113" t="s">
        <v>292</v>
      </c>
      <c r="J59" s="108" t="str">
        <f t="shared" si="0"/>
        <v>227821</v>
      </c>
      <c r="L59" s="8">
        <v>0.48</v>
      </c>
      <c r="N59" s="8">
        <v>0.48</v>
      </c>
      <c r="R59" s="8">
        <v>0.48</v>
      </c>
      <c r="S59" s="8">
        <v>0.48</v>
      </c>
      <c r="T59" s="8">
        <v>0.48</v>
      </c>
    </row>
    <row r="60" spans="1:25" ht="15" customHeight="1" x14ac:dyDescent="0.25">
      <c r="A60" t="str">
        <f>Table1[[#This Row],[District name]]&amp;" "&amp;Table1[[#This Row],[District number]]</f>
        <v>AUSTIN ISD 227901</v>
      </c>
      <c r="B60" t="s">
        <v>607</v>
      </c>
      <c r="C60" s="1"/>
      <c r="D60" t="s">
        <v>608</v>
      </c>
      <c r="E60" s="2" t="s">
        <v>598</v>
      </c>
      <c r="F60" s="137" t="s">
        <v>609</v>
      </c>
      <c r="G60" s="137" t="s">
        <v>610</v>
      </c>
      <c r="H60" s="137" t="s">
        <v>611</v>
      </c>
      <c r="I60" s="113" t="s">
        <v>292</v>
      </c>
      <c r="J60" s="108" t="str">
        <f t="shared" si="0"/>
        <v>227901</v>
      </c>
      <c r="L60" s="8">
        <v>0.49</v>
      </c>
      <c r="N60" s="8">
        <v>0.49</v>
      </c>
      <c r="R60" s="8">
        <v>0.49</v>
      </c>
      <c r="S60" s="8">
        <v>0.49</v>
      </c>
      <c r="T60" s="8">
        <v>0.49</v>
      </c>
    </row>
    <row r="61" spans="1:25" ht="15" customHeight="1" x14ac:dyDescent="0.25">
      <c r="A61" t="str">
        <f>Table1[[#This Row],[District name]]&amp;" "&amp;Table1[[#This Row],[District number]]</f>
        <v>AUSTWELL-TIVOLI ISD 196901</v>
      </c>
      <c r="B61" t="s">
        <v>612</v>
      </c>
      <c r="C61" s="1"/>
      <c r="D61" t="s">
        <v>613</v>
      </c>
      <c r="E61" s="2" t="s">
        <v>614</v>
      </c>
      <c r="F61" s="137" t="s">
        <v>615</v>
      </c>
      <c r="G61" s="137" t="s">
        <v>616</v>
      </c>
      <c r="H61" s="137" t="s">
        <v>617</v>
      </c>
      <c r="I61" s="113" t="s">
        <v>292</v>
      </c>
      <c r="J61" s="108" t="str">
        <f t="shared" si="0"/>
        <v>196901</v>
      </c>
      <c r="L61" s="8">
        <v>0.5</v>
      </c>
      <c r="N61" s="8">
        <v>0.5</v>
      </c>
      <c r="R61" s="8">
        <v>0.5</v>
      </c>
      <c r="S61" s="8">
        <v>0.5</v>
      </c>
      <c r="T61" s="8">
        <v>0.5</v>
      </c>
    </row>
    <row r="62" spans="1:25" ht="15" customHeight="1" x14ac:dyDescent="0.25">
      <c r="A62" t="str">
        <f>Table1[[#This Row],[District name]]&amp;" "&amp;Table1[[#This Row],[District number]]</f>
        <v>AVALON ISD 070901</v>
      </c>
      <c r="B62" t="s">
        <v>618</v>
      </c>
      <c r="C62" s="1"/>
      <c r="D62" t="s">
        <v>619</v>
      </c>
      <c r="E62" s="2" t="s">
        <v>288</v>
      </c>
      <c r="F62" s="137" t="s">
        <v>620</v>
      </c>
      <c r="G62" s="137" t="s">
        <v>621</v>
      </c>
      <c r="H62" s="137" t="s">
        <v>622</v>
      </c>
      <c r="I62" s="113" t="s">
        <v>292</v>
      </c>
      <c r="J62" s="108" t="str">
        <f t="shared" si="0"/>
        <v>070901</v>
      </c>
      <c r="L62" s="8">
        <v>0.51</v>
      </c>
      <c r="N62" s="8">
        <v>0.51</v>
      </c>
      <c r="R62" s="8">
        <v>0.51</v>
      </c>
      <c r="S62" s="8">
        <v>0.51</v>
      </c>
      <c r="T62" s="8">
        <v>0.51</v>
      </c>
    </row>
    <row r="63" spans="1:25" ht="15" customHeight="1" x14ac:dyDescent="0.25">
      <c r="A63" t="str">
        <f>Table1[[#This Row],[District name]]&amp;" "&amp;Table1[[#This Row],[District number]]</f>
        <v>AVERY ISD 194902</v>
      </c>
      <c r="B63" t="s">
        <v>623</v>
      </c>
      <c r="C63" s="1"/>
      <c r="D63" t="s">
        <v>624</v>
      </c>
      <c r="E63" s="2" t="s">
        <v>587</v>
      </c>
      <c r="F63" s="137" t="s">
        <v>625</v>
      </c>
      <c r="G63" s="137" t="s">
        <v>626</v>
      </c>
      <c r="H63" s="137" t="s">
        <v>627</v>
      </c>
      <c r="I63" s="113" t="s">
        <v>292</v>
      </c>
      <c r="J63" s="108" t="str">
        <f t="shared" si="0"/>
        <v>194902</v>
      </c>
      <c r="L63" s="8">
        <v>0.52</v>
      </c>
      <c r="N63" s="8">
        <v>0.52</v>
      </c>
      <c r="R63" s="8">
        <v>0.52</v>
      </c>
      <c r="S63" s="8">
        <v>0.52</v>
      </c>
      <c r="T63" s="8">
        <v>0.52</v>
      </c>
    </row>
    <row r="64" spans="1:25" ht="15" customHeight="1" x14ac:dyDescent="0.25">
      <c r="A64" t="str">
        <f>Table1[[#This Row],[District name]]&amp;" "&amp;Table1[[#This Row],[District number]]</f>
        <v>AVINGER ISD 034902</v>
      </c>
      <c r="B64" t="s">
        <v>628</v>
      </c>
      <c r="C64" s="1"/>
      <c r="D64" t="s">
        <v>629</v>
      </c>
      <c r="E64" s="2" t="s">
        <v>587</v>
      </c>
      <c r="F64" s="137" t="s">
        <v>630</v>
      </c>
      <c r="G64" s="137" t="s">
        <v>631</v>
      </c>
      <c r="H64" s="137" t="s">
        <v>632</v>
      </c>
      <c r="I64" s="113" t="s">
        <v>292</v>
      </c>
      <c r="J64" s="108" t="str">
        <f t="shared" si="0"/>
        <v>034902</v>
      </c>
      <c r="L64" s="8">
        <v>0.53</v>
      </c>
      <c r="N64" s="8">
        <v>0.53</v>
      </c>
      <c r="R64" s="8">
        <v>0.53</v>
      </c>
      <c r="S64" s="8">
        <v>0.53</v>
      </c>
      <c r="T64" s="8">
        <v>0.53</v>
      </c>
    </row>
    <row r="65" spans="1:20" ht="15" customHeight="1" x14ac:dyDescent="0.25">
      <c r="A65" t="str">
        <f>Table1[[#This Row],[District name]]&amp;" "&amp;Table1[[#This Row],[District number]]</f>
        <v>AXTELL ISD 161918</v>
      </c>
      <c r="B65" t="s">
        <v>633</v>
      </c>
      <c r="C65" s="1"/>
      <c r="D65" t="s">
        <v>634</v>
      </c>
      <c r="E65" s="2" t="s">
        <v>301</v>
      </c>
      <c r="F65" s="137" t="s">
        <v>635</v>
      </c>
      <c r="G65" s="137" t="s">
        <v>636</v>
      </c>
      <c r="H65" s="137" t="s">
        <v>637</v>
      </c>
      <c r="I65" s="113" t="s">
        <v>292</v>
      </c>
      <c r="J65" s="108" t="str">
        <f t="shared" si="0"/>
        <v>161918</v>
      </c>
      <c r="L65" s="8">
        <v>0.54</v>
      </c>
      <c r="N65" s="8">
        <v>0.54</v>
      </c>
      <c r="R65" s="8">
        <v>0.54</v>
      </c>
      <c r="S65" s="8">
        <v>0.54</v>
      </c>
      <c r="T65" s="8">
        <v>0.54</v>
      </c>
    </row>
    <row r="66" spans="1:20" ht="15" customHeight="1" x14ac:dyDescent="0.25">
      <c r="A66" t="str">
        <f>Table1[[#This Row],[District name]]&amp;" "&amp;Table1[[#This Row],[District number]]</f>
        <v>AZLE ISD 220915</v>
      </c>
      <c r="B66" t="s">
        <v>638</v>
      </c>
      <c r="C66" s="1"/>
      <c r="D66" t="s">
        <v>639</v>
      </c>
      <c r="E66" s="2" t="s">
        <v>402</v>
      </c>
      <c r="F66" s="137" t="s">
        <v>640</v>
      </c>
      <c r="G66" s="137" t="s">
        <v>641</v>
      </c>
      <c r="H66" s="137" t="s">
        <v>642</v>
      </c>
      <c r="I66" s="113" t="s">
        <v>292</v>
      </c>
      <c r="J66" s="108" t="str">
        <f t="shared" si="0"/>
        <v>220915</v>
      </c>
      <c r="L66" s="8">
        <v>0.55000000000000004</v>
      </c>
      <c r="N66" s="8">
        <v>0.55000000000000004</v>
      </c>
      <c r="R66" s="8">
        <v>0.55000000000000004</v>
      </c>
      <c r="S66" s="8">
        <v>0.55000000000000004</v>
      </c>
      <c r="T66" s="8">
        <v>0.55000000000000004</v>
      </c>
    </row>
    <row r="67" spans="1:20" ht="15" customHeight="1" x14ac:dyDescent="0.25">
      <c r="A67" t="str">
        <f>Table1[[#This Row],[District name]]&amp;" "&amp;Table1[[#This Row],[District number]]</f>
        <v>BAIRD ISD 030903</v>
      </c>
      <c r="B67" t="s">
        <v>643</v>
      </c>
      <c r="C67" s="1"/>
      <c r="D67" t="s">
        <v>644</v>
      </c>
      <c r="E67" s="2" t="s">
        <v>314</v>
      </c>
      <c r="F67" s="137" t="s">
        <v>645</v>
      </c>
      <c r="G67" s="137" t="s">
        <v>646</v>
      </c>
      <c r="H67" s="137" t="s">
        <v>647</v>
      </c>
      <c r="I67" s="113" t="s">
        <v>292</v>
      </c>
      <c r="J67" s="108" t="str">
        <f t="shared" ref="J67:J130" si="1">LEFT(B67,6)</f>
        <v>030903</v>
      </c>
      <c r="L67" s="8">
        <v>0.56000000000000005</v>
      </c>
      <c r="N67" s="8">
        <v>0.56000000000000005</v>
      </c>
      <c r="R67" s="8">
        <v>0.56000000000000005</v>
      </c>
      <c r="S67" s="8">
        <v>0.56000000000000005</v>
      </c>
      <c r="T67" s="8">
        <v>0.56000000000000005</v>
      </c>
    </row>
    <row r="68" spans="1:20" ht="15" customHeight="1" x14ac:dyDescent="0.25">
      <c r="A68" t="str">
        <f>Table1[[#This Row],[District name]]&amp;" "&amp;Table1[[#This Row],[District number]]</f>
        <v>BALLINGER ISD 200901</v>
      </c>
      <c r="B68" t="s">
        <v>648</v>
      </c>
      <c r="C68" s="1"/>
      <c r="D68" t="s">
        <v>649</v>
      </c>
      <c r="E68" s="2" t="s">
        <v>650</v>
      </c>
      <c r="F68" s="137" t="s">
        <v>651</v>
      </c>
      <c r="G68" s="137" t="s">
        <v>652</v>
      </c>
      <c r="H68" s="137" t="s">
        <v>653</v>
      </c>
      <c r="I68" s="113" t="s">
        <v>292</v>
      </c>
      <c r="J68" s="108" t="str">
        <f t="shared" si="1"/>
        <v>200901</v>
      </c>
      <c r="L68" s="8">
        <v>0.57000000000000006</v>
      </c>
      <c r="N68" s="8">
        <v>0.57000000000000006</v>
      </c>
      <c r="R68" s="8">
        <v>0.57000000000000006</v>
      </c>
      <c r="S68" s="8">
        <v>0.57000000000000006</v>
      </c>
      <c r="T68" s="8">
        <v>0.57000000000000006</v>
      </c>
    </row>
    <row r="69" spans="1:20" ht="15" customHeight="1" x14ac:dyDescent="0.25">
      <c r="A69" t="str">
        <f>Table1[[#This Row],[District name]]&amp;" "&amp;Table1[[#This Row],[District number]]</f>
        <v>BALMORHEA ISD 195902</v>
      </c>
      <c r="B69" t="s">
        <v>654</v>
      </c>
      <c r="C69" s="1"/>
      <c r="D69" t="s">
        <v>655</v>
      </c>
      <c r="E69" s="2" t="s">
        <v>430</v>
      </c>
      <c r="F69" s="137" t="s">
        <v>656</v>
      </c>
      <c r="G69" s="137" t="s">
        <v>657</v>
      </c>
      <c r="H69" s="137" t="s">
        <v>658</v>
      </c>
      <c r="I69" s="113" t="s">
        <v>292</v>
      </c>
      <c r="J69" s="108" t="str">
        <f t="shared" si="1"/>
        <v>195902</v>
      </c>
      <c r="L69" s="8">
        <v>0.57999999999999996</v>
      </c>
      <c r="N69" s="8">
        <v>0.57999999999999996</v>
      </c>
      <c r="R69" s="8">
        <v>0.57999999999999996</v>
      </c>
      <c r="S69" s="8">
        <v>0.57999999999999996</v>
      </c>
      <c r="T69" s="8">
        <v>0.57999999999999996</v>
      </c>
    </row>
    <row r="70" spans="1:20" ht="15" customHeight="1" x14ac:dyDescent="0.25">
      <c r="A70" t="str">
        <f>Table1[[#This Row],[District name]]&amp;" "&amp;Table1[[#This Row],[District number]]</f>
        <v>BANDERA ISD 010902</v>
      </c>
      <c r="B70" t="s">
        <v>659</v>
      </c>
      <c r="C70" s="1"/>
      <c r="D70" t="s">
        <v>660</v>
      </c>
      <c r="E70" s="2" t="s">
        <v>376</v>
      </c>
      <c r="F70" s="137" t="s">
        <v>661</v>
      </c>
      <c r="G70" s="137" t="s">
        <v>662</v>
      </c>
      <c r="H70" s="137" t="s">
        <v>663</v>
      </c>
      <c r="I70" s="113" t="s">
        <v>292</v>
      </c>
      <c r="J70" s="108" t="str">
        <f t="shared" si="1"/>
        <v>010902</v>
      </c>
      <c r="L70" s="8">
        <v>0.59</v>
      </c>
      <c r="N70" s="8">
        <v>0.59</v>
      </c>
      <c r="R70" s="8">
        <v>0.59</v>
      </c>
      <c r="S70" s="8">
        <v>0.59</v>
      </c>
      <c r="T70" s="8">
        <v>0.59</v>
      </c>
    </row>
    <row r="71" spans="1:20" ht="15" customHeight="1" x14ac:dyDescent="0.25">
      <c r="A71" t="str">
        <f>Table1[[#This Row],[District name]]&amp;" "&amp;Table1[[#This Row],[District number]]</f>
        <v>BANGS ISD 025901</v>
      </c>
      <c r="B71" t="s">
        <v>664</v>
      </c>
      <c r="C71" s="1"/>
      <c r="D71" t="s">
        <v>665</v>
      </c>
      <c r="E71" s="2" t="s">
        <v>650</v>
      </c>
      <c r="F71" s="137" t="s">
        <v>666</v>
      </c>
      <c r="G71" s="137" t="s">
        <v>667</v>
      </c>
      <c r="H71" s="137" t="s">
        <v>668</v>
      </c>
      <c r="I71" s="113" t="s">
        <v>292</v>
      </c>
      <c r="J71" s="108" t="str">
        <f t="shared" si="1"/>
        <v>025901</v>
      </c>
      <c r="L71" s="8">
        <v>0.6</v>
      </c>
      <c r="N71" s="8">
        <v>0.6</v>
      </c>
      <c r="R71" s="8">
        <v>0.6</v>
      </c>
      <c r="S71" s="8">
        <v>0.6</v>
      </c>
      <c r="T71" s="8">
        <v>0.6</v>
      </c>
    </row>
    <row r="72" spans="1:20" ht="15" customHeight="1" x14ac:dyDescent="0.25">
      <c r="A72" t="str">
        <f>Table1[[#This Row],[District name]]&amp;" "&amp;Table1[[#This Row],[District number]]</f>
        <v>BANQUETE ISD 178913</v>
      </c>
      <c r="B72" t="s">
        <v>669</v>
      </c>
      <c r="C72" s="1"/>
      <c r="D72" t="s">
        <v>670</v>
      </c>
      <c r="E72" s="2" t="s">
        <v>369</v>
      </c>
      <c r="F72" s="137" t="s">
        <v>671</v>
      </c>
      <c r="G72" s="137" t="s">
        <v>672</v>
      </c>
      <c r="H72" s="137" t="s">
        <v>673</v>
      </c>
      <c r="I72" s="113" t="s">
        <v>292</v>
      </c>
      <c r="J72" s="108" t="str">
        <f t="shared" si="1"/>
        <v>178913</v>
      </c>
      <c r="L72" s="8">
        <v>0.61</v>
      </c>
      <c r="N72" s="8">
        <v>0.61</v>
      </c>
      <c r="R72" s="8">
        <v>0.61</v>
      </c>
      <c r="S72" s="8">
        <v>0.61</v>
      </c>
      <c r="T72" s="8">
        <v>0.61</v>
      </c>
    </row>
    <row r="73" spans="1:20" ht="15" customHeight="1" x14ac:dyDescent="0.25">
      <c r="A73" t="str">
        <f>Table1[[#This Row],[District name]]&amp;" "&amp;Table1[[#This Row],[District number]]</f>
        <v>BARBERS HILL ISD 036902</v>
      </c>
      <c r="B73" t="s">
        <v>674</v>
      </c>
      <c r="C73" s="1"/>
      <c r="D73" t="s">
        <v>675</v>
      </c>
      <c r="E73" s="2" t="s">
        <v>295</v>
      </c>
      <c r="F73" s="137" t="s">
        <v>676</v>
      </c>
      <c r="G73" s="137" t="s">
        <v>677</v>
      </c>
      <c r="H73" s="137" t="s">
        <v>678</v>
      </c>
      <c r="I73" s="113" t="s">
        <v>292</v>
      </c>
      <c r="J73" s="108" t="str">
        <f t="shared" si="1"/>
        <v>036902</v>
      </c>
      <c r="L73" s="8">
        <v>0.62</v>
      </c>
      <c r="N73" s="8">
        <v>0.62</v>
      </c>
      <c r="R73" s="8">
        <v>0.62</v>
      </c>
      <c r="S73" s="8">
        <v>0.62</v>
      </c>
      <c r="T73" s="8">
        <v>0.62</v>
      </c>
    </row>
    <row r="74" spans="1:20" ht="15" customHeight="1" x14ac:dyDescent="0.25">
      <c r="A74" t="str">
        <f>Table1[[#This Row],[District name]]&amp;" "&amp;Table1[[#This Row],[District number]]</f>
        <v>BARTLETT ISD 014902</v>
      </c>
      <c r="B74" t="s">
        <v>679</v>
      </c>
      <c r="C74" s="1"/>
      <c r="D74" t="s">
        <v>680</v>
      </c>
      <c r="E74" s="2" t="s">
        <v>301</v>
      </c>
      <c r="F74" s="137" t="s">
        <v>681</v>
      </c>
      <c r="G74" s="137" t="s">
        <v>682</v>
      </c>
      <c r="H74" s="137" t="s">
        <v>683</v>
      </c>
      <c r="I74" s="113" t="s">
        <v>292</v>
      </c>
      <c r="J74" s="108" t="str">
        <f t="shared" si="1"/>
        <v>014902</v>
      </c>
      <c r="L74" s="8">
        <v>0.63</v>
      </c>
      <c r="N74" s="8">
        <v>0.63</v>
      </c>
      <c r="R74" s="8">
        <v>0.63</v>
      </c>
      <c r="S74" s="8">
        <v>0.63</v>
      </c>
      <c r="T74" s="8">
        <v>0.63</v>
      </c>
    </row>
    <row r="75" spans="1:20" ht="15" customHeight="1" x14ac:dyDescent="0.25">
      <c r="A75" t="str">
        <f>Table1[[#This Row],[District name]]&amp;" "&amp;Table1[[#This Row],[District number]]</f>
        <v>BASIS TEXAS 015834</v>
      </c>
      <c r="B75" t="s">
        <v>684</v>
      </c>
      <c r="C75" s="1"/>
      <c r="D75" t="s">
        <v>685</v>
      </c>
      <c r="E75" s="2" t="s">
        <v>376</v>
      </c>
      <c r="F75" s="137" t="s">
        <v>686</v>
      </c>
      <c r="G75" s="137" t="s">
        <v>687</v>
      </c>
      <c r="H75" s="137" t="s">
        <v>688</v>
      </c>
      <c r="I75" s="113" t="s">
        <v>292</v>
      </c>
      <c r="J75" s="108" t="str">
        <f t="shared" si="1"/>
        <v>015834</v>
      </c>
      <c r="L75" s="8">
        <v>0.64</v>
      </c>
      <c r="N75" s="8">
        <v>0.64</v>
      </c>
      <c r="R75" s="8">
        <v>0.64</v>
      </c>
      <c r="S75" s="8">
        <v>0.64</v>
      </c>
      <c r="T75" s="8">
        <v>0.64</v>
      </c>
    </row>
    <row r="76" spans="1:20" ht="15" customHeight="1" x14ac:dyDescent="0.25">
      <c r="A76" t="str">
        <f>Table1[[#This Row],[District name]]&amp;" "&amp;Table1[[#This Row],[District number]]</f>
        <v>BASTROP ISD 011901</v>
      </c>
      <c r="B76" t="s">
        <v>689</v>
      </c>
      <c r="C76" s="1"/>
      <c r="D76" t="s">
        <v>690</v>
      </c>
      <c r="E76" s="2" t="s">
        <v>598</v>
      </c>
      <c r="F76" s="137" t="s">
        <v>691</v>
      </c>
      <c r="G76" s="137" t="s">
        <v>692</v>
      </c>
      <c r="H76" s="137" t="s">
        <v>693</v>
      </c>
      <c r="I76" s="113" t="s">
        <v>292</v>
      </c>
      <c r="J76" s="108" t="str">
        <f t="shared" si="1"/>
        <v>011901</v>
      </c>
      <c r="L76" s="8">
        <v>0.65</v>
      </c>
      <c r="N76" s="8">
        <v>0.65</v>
      </c>
      <c r="R76" s="8">
        <v>0.65</v>
      </c>
      <c r="S76" s="8">
        <v>0.65</v>
      </c>
      <c r="T76" s="8">
        <v>0.65</v>
      </c>
    </row>
    <row r="77" spans="1:20" ht="15" customHeight="1" x14ac:dyDescent="0.25">
      <c r="A77" t="str">
        <f>Table1[[#This Row],[District name]]&amp;" "&amp;Table1[[#This Row],[District number]]</f>
        <v>BAY CITY ISD 158901</v>
      </c>
      <c r="B77" t="s">
        <v>694</v>
      </c>
      <c r="C77" s="1"/>
      <c r="D77" t="s">
        <v>695</v>
      </c>
      <c r="E77" s="2" t="s">
        <v>614</v>
      </c>
      <c r="F77" s="137" t="s">
        <v>696</v>
      </c>
      <c r="G77" s="137" t="s">
        <v>697</v>
      </c>
      <c r="H77" s="137" t="s">
        <v>698</v>
      </c>
      <c r="I77" s="113" t="s">
        <v>292</v>
      </c>
      <c r="J77" s="108" t="str">
        <f t="shared" si="1"/>
        <v>158901</v>
      </c>
      <c r="L77" s="8">
        <v>0.66</v>
      </c>
      <c r="N77" s="8">
        <v>0.66</v>
      </c>
      <c r="R77" s="8">
        <v>0.66</v>
      </c>
      <c r="S77" s="8">
        <v>0.66</v>
      </c>
      <c r="T77" s="8">
        <v>0.66</v>
      </c>
    </row>
    <row r="78" spans="1:20" ht="15" customHeight="1" x14ac:dyDescent="0.25">
      <c r="A78" t="str">
        <f>Table1[[#This Row],[District name]]&amp;" "&amp;Table1[[#This Row],[District number]]</f>
        <v>BEATRICE MAYES INSTITUTE CHARTER SCHOOL 101847</v>
      </c>
      <c r="B78" t="s">
        <v>699</v>
      </c>
      <c r="C78" s="1"/>
      <c r="D78" t="s">
        <v>700</v>
      </c>
      <c r="E78" s="2" t="s">
        <v>295</v>
      </c>
      <c r="F78" s="137" t="s">
        <v>701</v>
      </c>
      <c r="G78" s="137" t="s">
        <v>702</v>
      </c>
      <c r="H78" s="137" t="s">
        <v>703</v>
      </c>
      <c r="I78" s="113" t="s">
        <v>292</v>
      </c>
      <c r="J78" s="108" t="str">
        <f t="shared" si="1"/>
        <v>101847</v>
      </c>
      <c r="L78" s="8">
        <v>0.67</v>
      </c>
      <c r="N78" s="8">
        <v>0.67</v>
      </c>
      <c r="R78" s="8">
        <v>0.67</v>
      </c>
      <c r="S78" s="8">
        <v>0.67</v>
      </c>
      <c r="T78" s="8">
        <v>0.67</v>
      </c>
    </row>
    <row r="79" spans="1:20" ht="15" customHeight="1" x14ac:dyDescent="0.25">
      <c r="A79" t="str">
        <f>Table1[[#This Row],[District name]]&amp;" "&amp;Table1[[#This Row],[District number]]</f>
        <v>BEAUMONT ISD 123910</v>
      </c>
      <c r="B79" t="s">
        <v>704</v>
      </c>
      <c r="C79" s="1"/>
      <c r="D79" t="s">
        <v>705</v>
      </c>
      <c r="E79" s="2" t="s">
        <v>706</v>
      </c>
      <c r="F79" s="137" t="s">
        <v>707</v>
      </c>
      <c r="G79" s="137" t="s">
        <v>708</v>
      </c>
      <c r="H79" s="137" t="s">
        <v>709</v>
      </c>
      <c r="I79" s="113" t="s">
        <v>292</v>
      </c>
      <c r="J79" s="108" t="str">
        <f t="shared" si="1"/>
        <v>123910</v>
      </c>
      <c r="L79" s="8">
        <v>0.68</v>
      </c>
      <c r="N79" s="8">
        <v>0.68</v>
      </c>
      <c r="R79" s="8">
        <v>0.68</v>
      </c>
      <c r="S79" s="8">
        <v>0.68</v>
      </c>
      <c r="T79" s="8">
        <v>0.68</v>
      </c>
    </row>
    <row r="80" spans="1:20" ht="15" customHeight="1" x14ac:dyDescent="0.25">
      <c r="A80" t="str">
        <f>Table1[[#This Row],[District name]]&amp;" "&amp;Table1[[#This Row],[District number]]</f>
        <v>BECKVILLE ISD 183901</v>
      </c>
      <c r="B80" t="s">
        <v>710</v>
      </c>
      <c r="C80" s="1"/>
      <c r="D80" t="s">
        <v>711</v>
      </c>
      <c r="E80" s="2" t="s">
        <v>383</v>
      </c>
      <c r="F80" s="137" t="s">
        <v>712</v>
      </c>
      <c r="G80" s="137" t="s">
        <v>713</v>
      </c>
      <c r="H80" s="137" t="s">
        <v>714</v>
      </c>
      <c r="I80" s="113" t="s">
        <v>292</v>
      </c>
      <c r="J80" s="108" t="str">
        <f t="shared" si="1"/>
        <v>183901</v>
      </c>
      <c r="L80" s="8">
        <v>0.69000000000000006</v>
      </c>
      <c r="N80" s="8">
        <v>0.69000000000000006</v>
      </c>
      <c r="R80" s="8">
        <v>0.69000000000000006</v>
      </c>
      <c r="S80" s="8">
        <v>0.69000000000000006</v>
      </c>
      <c r="T80" s="8">
        <v>0.69000000000000006</v>
      </c>
    </row>
    <row r="81" spans="1:20" ht="15" customHeight="1" x14ac:dyDescent="0.25">
      <c r="A81" t="str">
        <f>Table1[[#This Row],[District name]]&amp;" "&amp;Table1[[#This Row],[District number]]</f>
        <v>BEEVILLE ISD 013901</v>
      </c>
      <c r="B81" t="s">
        <v>715</v>
      </c>
      <c r="C81" s="1"/>
      <c r="D81" t="s">
        <v>716</v>
      </c>
      <c r="E81" s="2" t="s">
        <v>369</v>
      </c>
      <c r="F81" s="137" t="s">
        <v>717</v>
      </c>
      <c r="G81" s="137" t="s">
        <v>718</v>
      </c>
      <c r="H81" s="137" t="s">
        <v>719</v>
      </c>
      <c r="I81" s="113" t="s">
        <v>292</v>
      </c>
      <c r="J81" s="108" t="str">
        <f t="shared" si="1"/>
        <v>013901</v>
      </c>
      <c r="L81" s="8">
        <v>0.70000000000000007</v>
      </c>
      <c r="N81" s="8">
        <v>0.70000000000000007</v>
      </c>
      <c r="R81" s="8">
        <v>0.70000000000000007</v>
      </c>
      <c r="S81" s="8">
        <v>0.70000000000000007</v>
      </c>
      <c r="T81" s="8">
        <v>0.70000000000000007</v>
      </c>
    </row>
    <row r="82" spans="1:20" ht="15" customHeight="1" x14ac:dyDescent="0.25">
      <c r="A82" t="str">
        <f>Table1[[#This Row],[District name]]&amp;" "&amp;Table1[[#This Row],[District number]]</f>
        <v>BELLEVUE ISD 039904</v>
      </c>
      <c r="B82" t="s">
        <v>720</v>
      </c>
      <c r="C82" s="1"/>
      <c r="D82" t="s">
        <v>721</v>
      </c>
      <c r="E82" s="2" t="s">
        <v>541</v>
      </c>
      <c r="F82" s="137" t="s">
        <v>722</v>
      </c>
      <c r="G82" s="137" t="s">
        <v>723</v>
      </c>
      <c r="H82" s="137" t="s">
        <v>724</v>
      </c>
      <c r="I82" s="113" t="s">
        <v>292</v>
      </c>
      <c r="J82" s="108" t="str">
        <f t="shared" si="1"/>
        <v>039904</v>
      </c>
      <c r="L82" s="8">
        <v>0.71</v>
      </c>
      <c r="N82" s="8">
        <v>0.71</v>
      </c>
      <c r="R82" s="8">
        <v>0.71</v>
      </c>
      <c r="S82" s="8">
        <v>0.71</v>
      </c>
      <c r="T82" s="8">
        <v>0.71</v>
      </c>
    </row>
    <row r="83" spans="1:20" ht="15" customHeight="1" x14ac:dyDescent="0.25">
      <c r="A83" t="str">
        <f>Table1[[#This Row],[District name]]&amp;" "&amp;Table1[[#This Row],[District number]]</f>
        <v>BELLS ISD 091901</v>
      </c>
      <c r="B83" t="s">
        <v>725</v>
      </c>
      <c r="C83" s="1"/>
      <c r="D83" t="s">
        <v>726</v>
      </c>
      <c r="E83" s="2" t="s">
        <v>288</v>
      </c>
      <c r="F83" s="137" t="s">
        <v>727</v>
      </c>
      <c r="G83" s="137" t="s">
        <v>728</v>
      </c>
      <c r="H83" s="137" t="s">
        <v>729</v>
      </c>
      <c r="I83" s="113" t="s">
        <v>292</v>
      </c>
      <c r="J83" s="108" t="str">
        <f t="shared" si="1"/>
        <v>091901</v>
      </c>
      <c r="L83" s="8">
        <v>0.72</v>
      </c>
      <c r="N83" s="8">
        <v>0.72</v>
      </c>
      <c r="R83" s="8">
        <v>0.72</v>
      </c>
      <c r="S83" s="8">
        <v>0.72</v>
      </c>
      <c r="T83" s="8">
        <v>0.72</v>
      </c>
    </row>
    <row r="84" spans="1:20" ht="15" customHeight="1" x14ac:dyDescent="0.25">
      <c r="A84" t="str">
        <f>Table1[[#This Row],[District name]]&amp;" "&amp;Table1[[#This Row],[District number]]</f>
        <v>BELLVILLE ISD 008901</v>
      </c>
      <c r="B84" t="s">
        <v>730</v>
      </c>
      <c r="C84" s="1"/>
      <c r="D84" t="s">
        <v>731</v>
      </c>
      <c r="E84" s="2" t="s">
        <v>480</v>
      </c>
      <c r="F84" s="137" t="s">
        <v>732</v>
      </c>
      <c r="G84" s="137" t="s">
        <v>733</v>
      </c>
      <c r="H84" s="137" t="s">
        <v>734</v>
      </c>
      <c r="I84" s="113" t="s">
        <v>292</v>
      </c>
      <c r="J84" s="108" t="str">
        <f t="shared" si="1"/>
        <v>008901</v>
      </c>
      <c r="L84" s="8">
        <v>0.73</v>
      </c>
      <c r="N84" s="8">
        <v>0.73</v>
      </c>
      <c r="R84" s="8">
        <v>0.73</v>
      </c>
      <c r="S84" s="8">
        <v>0.73</v>
      </c>
      <c r="T84" s="8">
        <v>0.73</v>
      </c>
    </row>
    <row r="85" spans="1:20" ht="15" customHeight="1" x14ac:dyDescent="0.25">
      <c r="A85" t="str">
        <f>Table1[[#This Row],[District name]]&amp;" "&amp;Table1[[#This Row],[District number]]</f>
        <v>BELTON ISD 014903</v>
      </c>
      <c r="B85" t="s">
        <v>735</v>
      </c>
      <c r="C85" s="1"/>
      <c r="D85" t="s">
        <v>736</v>
      </c>
      <c r="E85" s="2" t="s">
        <v>301</v>
      </c>
      <c r="F85" s="137" t="s">
        <v>737</v>
      </c>
      <c r="G85" s="137" t="s">
        <v>738</v>
      </c>
      <c r="H85" s="137" t="s">
        <v>739</v>
      </c>
      <c r="I85" s="113" t="s">
        <v>292</v>
      </c>
      <c r="J85" s="108" t="str">
        <f t="shared" si="1"/>
        <v>014903</v>
      </c>
      <c r="L85" s="8">
        <v>0.74</v>
      </c>
      <c r="N85" s="8">
        <v>0.74</v>
      </c>
      <c r="R85" s="8">
        <v>0.74</v>
      </c>
      <c r="S85" s="8">
        <v>0.74</v>
      </c>
      <c r="T85" s="8">
        <v>0.74</v>
      </c>
    </row>
    <row r="86" spans="1:20" ht="15" customHeight="1" x14ac:dyDescent="0.25">
      <c r="A86" t="str">
        <f>Table1[[#This Row],[District name]]&amp;" "&amp;Table1[[#This Row],[District number]]</f>
        <v>BEN BOLT-PALITO BLANCO ISD 125902</v>
      </c>
      <c r="B86" t="s">
        <v>740</v>
      </c>
      <c r="C86" s="1"/>
      <c r="D86" t="s">
        <v>741</v>
      </c>
      <c r="E86" s="2" t="s">
        <v>369</v>
      </c>
      <c r="F86" s="137" t="s">
        <v>742</v>
      </c>
      <c r="G86" s="137" t="s">
        <v>743</v>
      </c>
      <c r="H86" s="137" t="s">
        <v>744</v>
      </c>
      <c r="I86" s="113" t="s">
        <v>292</v>
      </c>
      <c r="J86" s="108" t="str">
        <f t="shared" si="1"/>
        <v>125902</v>
      </c>
      <c r="L86" s="8">
        <v>0.75</v>
      </c>
      <c r="N86" s="8">
        <v>0.75</v>
      </c>
      <c r="R86" s="8">
        <v>0.75</v>
      </c>
      <c r="S86" s="8">
        <v>0.75</v>
      </c>
      <c r="T86" s="8">
        <v>0.75</v>
      </c>
    </row>
    <row r="87" spans="1:20" ht="15" customHeight="1" x14ac:dyDescent="0.25">
      <c r="A87" t="str">
        <f>Table1[[#This Row],[District name]]&amp;" "&amp;Table1[[#This Row],[District number]]</f>
        <v>BENAVIDES ISD 066901</v>
      </c>
      <c r="B87" t="s">
        <v>745</v>
      </c>
      <c r="C87" s="1"/>
      <c r="D87" t="s">
        <v>746</v>
      </c>
      <c r="E87" s="2" t="s">
        <v>369</v>
      </c>
      <c r="F87" s="137" t="s">
        <v>747</v>
      </c>
      <c r="G87" s="137" t="s">
        <v>748</v>
      </c>
      <c r="H87" s="137" t="s">
        <v>749</v>
      </c>
      <c r="I87" s="113" t="s">
        <v>292</v>
      </c>
      <c r="J87" s="108" t="str">
        <f t="shared" si="1"/>
        <v>066901</v>
      </c>
      <c r="L87" s="8">
        <v>0.76</v>
      </c>
      <c r="N87" s="8">
        <v>0.76</v>
      </c>
      <c r="R87" s="8">
        <v>0.76</v>
      </c>
      <c r="S87" s="8">
        <v>0.76</v>
      </c>
      <c r="T87" s="8">
        <v>0.76</v>
      </c>
    </row>
    <row r="88" spans="1:20" ht="15" customHeight="1" x14ac:dyDescent="0.25">
      <c r="A88" t="str">
        <f>Table1[[#This Row],[District name]]&amp;" "&amp;Table1[[#This Row],[District number]]</f>
        <v>BENJAMIN ISD 138904</v>
      </c>
      <c r="B88" t="s">
        <v>750</v>
      </c>
      <c r="C88" s="1"/>
      <c r="D88" t="s">
        <v>751</v>
      </c>
      <c r="E88" s="2" t="s">
        <v>541</v>
      </c>
      <c r="F88" s="137" t="s">
        <v>752</v>
      </c>
      <c r="G88" s="137" t="s">
        <v>753</v>
      </c>
      <c r="H88" s="137" t="s">
        <v>754</v>
      </c>
      <c r="I88" s="113" t="s">
        <v>292</v>
      </c>
      <c r="J88" s="108" t="str">
        <f t="shared" si="1"/>
        <v>138904</v>
      </c>
      <c r="L88" s="8">
        <v>0.77</v>
      </c>
      <c r="N88" s="8">
        <v>0.77</v>
      </c>
      <c r="R88" s="8">
        <v>0.77</v>
      </c>
      <c r="S88" s="8">
        <v>0.77</v>
      </c>
      <c r="T88" s="8">
        <v>0.77</v>
      </c>
    </row>
    <row r="89" spans="1:20" ht="15" customHeight="1" x14ac:dyDescent="0.25">
      <c r="A89" t="str">
        <f>Table1[[#This Row],[District name]]&amp;" "&amp;Table1[[#This Row],[District number]]</f>
        <v>BETA ACADEMY 101870</v>
      </c>
      <c r="B89" t="s">
        <v>755</v>
      </c>
      <c r="C89" s="1"/>
      <c r="D89" t="s">
        <v>756</v>
      </c>
      <c r="E89" s="2" t="s">
        <v>295</v>
      </c>
      <c r="F89" s="137" t="s">
        <v>757</v>
      </c>
      <c r="G89" s="137" t="s">
        <v>758</v>
      </c>
      <c r="H89" s="137" t="s">
        <v>759</v>
      </c>
      <c r="I89" s="113" t="s">
        <v>292</v>
      </c>
      <c r="J89" s="108" t="str">
        <f t="shared" si="1"/>
        <v>101870</v>
      </c>
      <c r="L89" s="8">
        <v>0.78</v>
      </c>
      <c r="N89" s="8">
        <v>0.78</v>
      </c>
      <c r="R89" s="8">
        <v>0.78</v>
      </c>
      <c r="S89" s="8">
        <v>0.78</v>
      </c>
      <c r="T89" s="8">
        <v>0.78</v>
      </c>
    </row>
    <row r="90" spans="1:20" ht="15" customHeight="1" x14ac:dyDescent="0.25">
      <c r="A90" t="str">
        <f>Table1[[#This Row],[District name]]&amp;" "&amp;Table1[[#This Row],[District number]]</f>
        <v>BETTY M CONDRA SCHOOL FOR EDUCATION INNOVATION 152806</v>
      </c>
      <c r="B90" t="s">
        <v>760</v>
      </c>
      <c r="C90" s="1"/>
      <c r="D90" t="s">
        <v>761</v>
      </c>
      <c r="E90" s="2" t="s">
        <v>308</v>
      </c>
      <c r="F90" s="137" t="s">
        <v>762</v>
      </c>
      <c r="G90" s="137" t="s">
        <v>763</v>
      </c>
      <c r="H90" s="137" t="s">
        <v>764</v>
      </c>
      <c r="I90" s="113" t="s">
        <v>292</v>
      </c>
      <c r="J90" s="108" t="str">
        <f t="shared" si="1"/>
        <v>152806</v>
      </c>
      <c r="L90" s="8">
        <v>0.79</v>
      </c>
      <c r="N90" s="8">
        <v>0.79</v>
      </c>
      <c r="R90" s="8">
        <v>0.79</v>
      </c>
      <c r="S90" s="8">
        <v>0.79</v>
      </c>
      <c r="T90" s="8">
        <v>0.79</v>
      </c>
    </row>
    <row r="91" spans="1:20" ht="15" customHeight="1" x14ac:dyDescent="0.25">
      <c r="A91" t="str">
        <f>Table1[[#This Row],[District name]]&amp;" "&amp;Table1[[#This Row],[District number]]</f>
        <v>BEXAR COUNTY ACADEMY 015809</v>
      </c>
      <c r="B91" t="s">
        <v>765</v>
      </c>
      <c r="C91" s="1"/>
      <c r="D91" t="s">
        <v>766</v>
      </c>
      <c r="E91" s="2" t="s">
        <v>376</v>
      </c>
      <c r="F91" s="137" t="s">
        <v>767</v>
      </c>
      <c r="G91" s="137" t="s">
        <v>768</v>
      </c>
      <c r="H91" s="137" t="s">
        <v>769</v>
      </c>
      <c r="I91" s="113" t="s">
        <v>292</v>
      </c>
      <c r="J91" s="108" t="str">
        <f t="shared" si="1"/>
        <v>015809</v>
      </c>
      <c r="L91" s="8">
        <v>0.8</v>
      </c>
      <c r="N91" s="8">
        <v>0.8</v>
      </c>
      <c r="R91" s="8">
        <v>0.8</v>
      </c>
      <c r="S91" s="8">
        <v>0.8</v>
      </c>
      <c r="T91" s="8">
        <v>0.8</v>
      </c>
    </row>
    <row r="92" spans="1:20" ht="15" customHeight="1" x14ac:dyDescent="0.25">
      <c r="A92" t="str">
        <f>Table1[[#This Row],[District name]]&amp;" "&amp;Table1[[#This Row],[District number]]</f>
        <v>BIG SANDY ISD 187901</v>
      </c>
      <c r="B92" t="s">
        <v>770</v>
      </c>
      <c r="C92" s="1"/>
      <c r="D92" t="s">
        <v>771</v>
      </c>
      <c r="E92" s="2" t="s">
        <v>480</v>
      </c>
      <c r="F92" s="137" t="s">
        <v>772</v>
      </c>
      <c r="G92" s="137" t="s">
        <v>773</v>
      </c>
      <c r="H92" s="137" t="s">
        <v>774</v>
      </c>
      <c r="I92" s="113" t="s">
        <v>292</v>
      </c>
      <c r="J92" s="108" t="str">
        <f t="shared" si="1"/>
        <v>187901</v>
      </c>
      <c r="L92" s="8">
        <v>0.81</v>
      </c>
      <c r="N92" s="8">
        <v>0.81</v>
      </c>
      <c r="R92" s="8">
        <v>0.81</v>
      </c>
      <c r="S92" s="8">
        <v>0.81</v>
      </c>
      <c r="T92" s="8">
        <v>0.81</v>
      </c>
    </row>
    <row r="93" spans="1:20" ht="15" customHeight="1" x14ac:dyDescent="0.25">
      <c r="A93" t="str">
        <f>Table1[[#This Row],[District name]]&amp;" "&amp;Table1[[#This Row],[District number]]</f>
        <v>BIG SANDY ISD 230901</v>
      </c>
      <c r="B93" t="s">
        <v>775</v>
      </c>
      <c r="C93" s="1"/>
      <c r="D93" t="s">
        <v>771</v>
      </c>
      <c r="E93" s="2" t="s">
        <v>383</v>
      </c>
      <c r="F93" s="137" t="s">
        <v>776</v>
      </c>
      <c r="G93" s="137" t="s">
        <v>777</v>
      </c>
      <c r="H93" s="137" t="s">
        <v>778</v>
      </c>
      <c r="I93" s="113" t="s">
        <v>292</v>
      </c>
      <c r="J93" s="108" t="str">
        <f t="shared" si="1"/>
        <v>230901</v>
      </c>
      <c r="L93" s="8">
        <v>0.82000000000000006</v>
      </c>
      <c r="N93" s="8">
        <v>0.82000000000000006</v>
      </c>
      <c r="R93" s="8">
        <v>0.82000000000000006</v>
      </c>
      <c r="S93" s="8">
        <v>0.82000000000000006</v>
      </c>
      <c r="T93" s="8">
        <v>0.82000000000000006</v>
      </c>
    </row>
    <row r="94" spans="1:20" ht="15" customHeight="1" x14ac:dyDescent="0.25">
      <c r="A94" t="str">
        <f>Table1[[#This Row],[District name]]&amp;" "&amp;Table1[[#This Row],[District number]]</f>
        <v>BIG SPRING ISD 114901</v>
      </c>
      <c r="B94" t="s">
        <v>779</v>
      </c>
      <c r="C94" s="1"/>
      <c r="D94" t="s">
        <v>780</v>
      </c>
      <c r="E94" s="2" t="s">
        <v>430</v>
      </c>
      <c r="F94" s="137" t="s">
        <v>781</v>
      </c>
      <c r="G94" s="137" t="s">
        <v>782</v>
      </c>
      <c r="H94" s="137" t="s">
        <v>783</v>
      </c>
      <c r="I94" s="113" t="s">
        <v>292</v>
      </c>
      <c r="J94" s="108" t="str">
        <f t="shared" si="1"/>
        <v>114901</v>
      </c>
      <c r="L94" s="8">
        <v>0.83000000000000007</v>
      </c>
      <c r="N94" s="8">
        <v>0.83000000000000007</v>
      </c>
      <c r="R94" s="8">
        <v>0.83000000000000007</v>
      </c>
      <c r="S94" s="8">
        <v>0.83000000000000007</v>
      </c>
      <c r="T94" s="8">
        <v>0.83000000000000007</v>
      </c>
    </row>
    <row r="95" spans="1:20" ht="15" customHeight="1" x14ac:dyDescent="0.25">
      <c r="A95" t="str">
        <f>Table1[[#This Row],[District name]]&amp;" "&amp;Table1[[#This Row],[District number]]</f>
        <v>BIG SPRINGS CHARTER SCHOOL 193801</v>
      </c>
      <c r="B95" t="s">
        <v>784</v>
      </c>
      <c r="C95" s="1"/>
      <c r="D95" t="s">
        <v>785</v>
      </c>
      <c r="E95" s="2" t="s">
        <v>376</v>
      </c>
      <c r="F95" s="137" t="s">
        <v>786</v>
      </c>
      <c r="G95" s="137" t="s">
        <v>787</v>
      </c>
      <c r="H95" s="137" t="s">
        <v>788</v>
      </c>
      <c r="I95" s="113" t="s">
        <v>292</v>
      </c>
      <c r="J95" s="108" t="str">
        <f t="shared" si="1"/>
        <v>193801</v>
      </c>
      <c r="L95" s="8">
        <v>0.84</v>
      </c>
      <c r="N95" s="8">
        <v>0.84</v>
      </c>
      <c r="R95" s="8">
        <v>0.84</v>
      </c>
      <c r="S95" s="8">
        <v>0.84</v>
      </c>
      <c r="T95" s="8">
        <v>0.84</v>
      </c>
    </row>
    <row r="96" spans="1:20" ht="15" customHeight="1" x14ac:dyDescent="0.25">
      <c r="A96" t="str">
        <f>Table1[[#This Row],[District name]]&amp;" "&amp;Table1[[#This Row],[District number]]</f>
        <v>BIRDVILLE ISD 220902</v>
      </c>
      <c r="B96" t="s">
        <v>789</v>
      </c>
      <c r="C96" s="1"/>
      <c r="D96" t="s">
        <v>790</v>
      </c>
      <c r="E96" s="2" t="s">
        <v>402</v>
      </c>
      <c r="F96" s="137" t="s">
        <v>791</v>
      </c>
      <c r="G96" s="137" t="s">
        <v>792</v>
      </c>
      <c r="H96" s="137" t="s">
        <v>793</v>
      </c>
      <c r="I96" s="113" t="s">
        <v>292</v>
      </c>
      <c r="J96" s="108" t="str">
        <f t="shared" si="1"/>
        <v>220902</v>
      </c>
      <c r="L96" s="8">
        <v>0.85</v>
      </c>
      <c r="N96" s="8">
        <v>0.85</v>
      </c>
      <c r="R96" s="8">
        <v>0.85</v>
      </c>
      <c r="S96" s="8">
        <v>0.85</v>
      </c>
      <c r="T96" s="8">
        <v>0.85</v>
      </c>
    </row>
    <row r="97" spans="1:20" ht="15" customHeight="1" x14ac:dyDescent="0.25">
      <c r="A97" t="str">
        <f>Table1[[#This Row],[District name]]&amp;" "&amp;Table1[[#This Row],[District number]]</f>
        <v>BISHOP CISD 178902</v>
      </c>
      <c r="B97" t="s">
        <v>794</v>
      </c>
      <c r="C97" s="1"/>
      <c r="D97" t="s">
        <v>795</v>
      </c>
      <c r="E97" s="2" t="s">
        <v>369</v>
      </c>
      <c r="F97" s="137" t="s">
        <v>796</v>
      </c>
      <c r="G97" s="137" t="s">
        <v>797</v>
      </c>
      <c r="H97" s="137" t="s">
        <v>798</v>
      </c>
      <c r="I97" s="113" t="s">
        <v>292</v>
      </c>
      <c r="J97" s="108" t="str">
        <f t="shared" si="1"/>
        <v>178902</v>
      </c>
      <c r="L97" s="8">
        <v>0.86</v>
      </c>
      <c r="N97" s="8">
        <v>0.86</v>
      </c>
      <c r="R97" s="8">
        <v>0.86</v>
      </c>
      <c r="S97" s="8">
        <v>0.86</v>
      </c>
      <c r="T97" s="8">
        <v>0.86</v>
      </c>
    </row>
    <row r="98" spans="1:20" ht="15" customHeight="1" x14ac:dyDescent="0.25">
      <c r="A98" t="str">
        <f>Table1[[#This Row],[District name]]&amp;" "&amp;Table1[[#This Row],[District number]]</f>
        <v>BLACKWELL CISD 177903</v>
      </c>
      <c r="B98" t="s">
        <v>799</v>
      </c>
      <c r="C98" s="1"/>
      <c r="D98" t="s">
        <v>800</v>
      </c>
      <c r="E98" s="2" t="s">
        <v>314</v>
      </c>
      <c r="F98" s="137" t="s">
        <v>801</v>
      </c>
      <c r="G98" s="137" t="s">
        <v>802</v>
      </c>
      <c r="H98" s="137" t="s">
        <v>803</v>
      </c>
      <c r="I98" s="113" t="s">
        <v>292</v>
      </c>
      <c r="J98" s="108" t="str">
        <f t="shared" si="1"/>
        <v>177903</v>
      </c>
      <c r="L98" s="8">
        <v>0.87</v>
      </c>
      <c r="N98" s="8">
        <v>0.87</v>
      </c>
      <c r="R98" s="8">
        <v>0.87</v>
      </c>
      <c r="S98" s="8">
        <v>0.87</v>
      </c>
      <c r="T98" s="8">
        <v>0.87</v>
      </c>
    </row>
    <row r="99" spans="1:20" ht="15" customHeight="1" x14ac:dyDescent="0.25">
      <c r="A99" t="str">
        <f>Table1[[#This Row],[District name]]&amp;" "&amp;Table1[[#This Row],[District number]]</f>
        <v>BLANCO ISD 016902</v>
      </c>
      <c r="B99" t="s">
        <v>804</v>
      </c>
      <c r="C99" s="1"/>
      <c r="D99" t="s">
        <v>805</v>
      </c>
      <c r="E99" s="2" t="s">
        <v>598</v>
      </c>
      <c r="F99" s="137" t="s">
        <v>806</v>
      </c>
      <c r="G99" s="137" t="s">
        <v>807</v>
      </c>
      <c r="H99" s="137" t="s">
        <v>808</v>
      </c>
      <c r="I99" s="113" t="s">
        <v>292</v>
      </c>
      <c r="J99" s="108" t="str">
        <f t="shared" si="1"/>
        <v>016902</v>
      </c>
      <c r="L99" s="8">
        <v>0.88</v>
      </c>
      <c r="N99" s="8">
        <v>0.88</v>
      </c>
      <c r="R99" s="8">
        <v>0.88</v>
      </c>
      <c r="S99" s="8">
        <v>0.88</v>
      </c>
      <c r="T99" s="8">
        <v>0.88</v>
      </c>
    </row>
    <row r="100" spans="1:20" ht="15" customHeight="1" x14ac:dyDescent="0.25">
      <c r="A100" t="str">
        <f>Table1[[#This Row],[District name]]&amp;" "&amp;Table1[[#This Row],[District number]]</f>
        <v>BLAND ISD 116915</v>
      </c>
      <c r="B100" t="s">
        <v>809</v>
      </c>
      <c r="C100" s="1"/>
      <c r="D100" t="s">
        <v>810</v>
      </c>
      <c r="E100" s="2" t="s">
        <v>288</v>
      </c>
      <c r="F100" s="137" t="s">
        <v>811</v>
      </c>
      <c r="G100" s="137" t="s">
        <v>812</v>
      </c>
      <c r="H100" s="137" t="s">
        <v>813</v>
      </c>
      <c r="I100" s="113" t="s">
        <v>292</v>
      </c>
      <c r="J100" s="108" t="str">
        <f t="shared" si="1"/>
        <v>116915</v>
      </c>
      <c r="L100" s="8">
        <v>0.89</v>
      </c>
      <c r="N100" s="8">
        <v>0.89</v>
      </c>
      <c r="R100" s="8">
        <v>0.89</v>
      </c>
      <c r="S100" s="8">
        <v>0.89</v>
      </c>
      <c r="T100" s="8">
        <v>0.89</v>
      </c>
    </row>
    <row r="101" spans="1:20" ht="15" customHeight="1" x14ac:dyDescent="0.25">
      <c r="A101" t="str">
        <f>Table1[[#This Row],[District name]]&amp;" "&amp;Table1[[#This Row],[District number]]</f>
        <v>BLANKET ISD 025904</v>
      </c>
      <c r="B101" t="s">
        <v>814</v>
      </c>
      <c r="C101" s="1"/>
      <c r="D101" t="s">
        <v>815</v>
      </c>
      <c r="E101" s="2" t="s">
        <v>650</v>
      </c>
      <c r="F101" s="137" t="s">
        <v>816</v>
      </c>
      <c r="G101" s="137" t="s">
        <v>817</v>
      </c>
      <c r="H101" s="137" t="s">
        <v>818</v>
      </c>
      <c r="I101" s="113" t="s">
        <v>292</v>
      </c>
      <c r="J101" s="108" t="str">
        <f t="shared" si="1"/>
        <v>025904</v>
      </c>
      <c r="L101" s="8">
        <v>0.9</v>
      </c>
      <c r="N101" s="8">
        <v>0.9</v>
      </c>
      <c r="R101" s="8">
        <v>0.9</v>
      </c>
      <c r="S101" s="8">
        <v>0.9</v>
      </c>
      <c r="T101" s="8">
        <v>0.9</v>
      </c>
    </row>
    <row r="102" spans="1:20" ht="15" customHeight="1" x14ac:dyDescent="0.25">
      <c r="A102" t="str">
        <f>Table1[[#This Row],[District name]]&amp;" "&amp;Table1[[#This Row],[District number]]</f>
        <v>BLOOM ACADEMY CHARTER SCHOOL 101875</v>
      </c>
      <c r="B102" t="s">
        <v>819</v>
      </c>
      <c r="C102" s="1"/>
      <c r="D102" t="s">
        <v>820</v>
      </c>
      <c r="E102" s="2" t="s">
        <v>295</v>
      </c>
      <c r="F102" s="137" t="s">
        <v>821</v>
      </c>
      <c r="G102" s="137" t="s">
        <v>822</v>
      </c>
      <c r="H102" s="137" t="s">
        <v>823</v>
      </c>
      <c r="I102" s="113" t="s">
        <v>292</v>
      </c>
      <c r="J102" s="108" t="str">
        <f t="shared" si="1"/>
        <v>101875</v>
      </c>
      <c r="L102" s="8">
        <v>0.91</v>
      </c>
      <c r="N102" s="8">
        <v>0.91</v>
      </c>
      <c r="R102" s="8">
        <v>0.91</v>
      </c>
      <c r="S102" s="8">
        <v>0.91</v>
      </c>
      <c r="T102" s="8">
        <v>0.91</v>
      </c>
    </row>
    <row r="103" spans="1:20" ht="15" customHeight="1" x14ac:dyDescent="0.25">
      <c r="A103" t="str">
        <f>Table1[[#This Row],[District name]]&amp;" "&amp;Table1[[#This Row],[District number]]</f>
        <v>BLOOMBURG ISD 034909</v>
      </c>
      <c r="B103" t="s">
        <v>824</v>
      </c>
      <c r="C103" s="1"/>
      <c r="D103" t="s">
        <v>825</v>
      </c>
      <c r="E103" s="2" t="s">
        <v>587</v>
      </c>
      <c r="F103" s="137" t="s">
        <v>826</v>
      </c>
      <c r="G103" s="137" t="s">
        <v>827</v>
      </c>
      <c r="H103" s="137" t="s">
        <v>828</v>
      </c>
      <c r="I103" s="113" t="s">
        <v>292</v>
      </c>
      <c r="J103" s="108" t="str">
        <f t="shared" si="1"/>
        <v>034909</v>
      </c>
      <c r="L103" s="8">
        <v>0.92</v>
      </c>
      <c r="N103" s="8">
        <v>0.92</v>
      </c>
      <c r="R103" s="8">
        <v>0.92</v>
      </c>
      <c r="S103" s="8">
        <v>0.92</v>
      </c>
      <c r="T103" s="8">
        <v>0.92</v>
      </c>
    </row>
    <row r="104" spans="1:20" ht="15" customHeight="1" x14ac:dyDescent="0.25">
      <c r="A104" t="str">
        <f>Table1[[#This Row],[District name]]&amp;" "&amp;Table1[[#This Row],[District number]]</f>
        <v>BLOOMING GROVE ISD 175902</v>
      </c>
      <c r="B104" t="s">
        <v>829</v>
      </c>
      <c r="C104" s="1"/>
      <c r="D104" t="s">
        <v>830</v>
      </c>
      <c r="E104" s="2" t="s">
        <v>301</v>
      </c>
      <c r="F104" s="137" t="s">
        <v>409</v>
      </c>
      <c r="G104" s="137" t="s">
        <v>410</v>
      </c>
      <c r="H104" s="137" t="s">
        <v>831</v>
      </c>
      <c r="I104" s="113" t="s">
        <v>292</v>
      </c>
      <c r="J104" s="108" t="str">
        <f t="shared" si="1"/>
        <v>175902</v>
      </c>
      <c r="L104" s="8">
        <v>0.93</v>
      </c>
      <c r="N104" s="8">
        <v>0.93</v>
      </c>
      <c r="R104" s="8">
        <v>0.93</v>
      </c>
      <c r="S104" s="8">
        <v>0.93</v>
      </c>
      <c r="T104" s="8">
        <v>0.93</v>
      </c>
    </row>
    <row r="105" spans="1:20" ht="15" customHeight="1" x14ac:dyDescent="0.25">
      <c r="A105" t="str">
        <f>Table1[[#This Row],[District name]]&amp;" "&amp;Table1[[#This Row],[District number]]</f>
        <v>BLOOMINGTON ISD 235901</v>
      </c>
      <c r="B105" t="s">
        <v>832</v>
      </c>
      <c r="C105" s="1"/>
      <c r="D105" t="s">
        <v>833</v>
      </c>
      <c r="E105" s="2" t="s">
        <v>614</v>
      </c>
      <c r="F105" s="137" t="s">
        <v>834</v>
      </c>
      <c r="G105" s="137" t="s">
        <v>835</v>
      </c>
      <c r="H105" s="137" t="s">
        <v>836</v>
      </c>
      <c r="I105" s="113" t="s">
        <v>292</v>
      </c>
      <c r="J105" s="108" t="str">
        <f t="shared" si="1"/>
        <v>235901</v>
      </c>
      <c r="L105" s="8">
        <v>0.94000000000000006</v>
      </c>
      <c r="N105" s="8">
        <v>0.94000000000000006</v>
      </c>
      <c r="R105" s="8">
        <v>0.94000000000000006</v>
      </c>
      <c r="S105" s="8">
        <v>0.94000000000000006</v>
      </c>
      <c r="T105" s="8">
        <v>0.94000000000000006</v>
      </c>
    </row>
    <row r="106" spans="1:20" ht="15" customHeight="1" x14ac:dyDescent="0.25">
      <c r="A106" t="str">
        <f>Table1[[#This Row],[District name]]&amp;" "&amp;Table1[[#This Row],[District number]]</f>
        <v>BLUE RIDGE ISD 043917</v>
      </c>
      <c r="B106" t="s">
        <v>837</v>
      </c>
      <c r="C106" s="1"/>
      <c r="D106" t="s">
        <v>838</v>
      </c>
      <c r="E106" s="2" t="s">
        <v>288</v>
      </c>
      <c r="F106" s="137" t="s">
        <v>839</v>
      </c>
      <c r="G106" s="137" t="s">
        <v>840</v>
      </c>
      <c r="H106" s="137" t="s">
        <v>841</v>
      </c>
      <c r="I106" s="113" t="s">
        <v>292</v>
      </c>
      <c r="J106" s="108" t="str">
        <f t="shared" si="1"/>
        <v>043917</v>
      </c>
      <c r="L106" s="8">
        <v>0.95000000000000007</v>
      </c>
      <c r="N106" s="8">
        <v>0.95000000000000007</v>
      </c>
      <c r="R106" s="8">
        <v>0.95000000000000007</v>
      </c>
      <c r="S106" s="8">
        <v>0.95000000000000007</v>
      </c>
      <c r="T106" s="8">
        <v>0.95000000000000007</v>
      </c>
    </row>
    <row r="107" spans="1:20" ht="15" customHeight="1" x14ac:dyDescent="0.25">
      <c r="A107" t="str">
        <f>Table1[[#This Row],[District name]]&amp;" "&amp;Table1[[#This Row],[District number]]</f>
        <v>BLUFF DALE ISD 072904</v>
      </c>
      <c r="B107" t="s">
        <v>842</v>
      </c>
      <c r="C107" s="1"/>
      <c r="D107" t="s">
        <v>843</v>
      </c>
      <c r="E107" s="2" t="s">
        <v>402</v>
      </c>
      <c r="F107" s="137" t="s">
        <v>844</v>
      </c>
      <c r="G107" s="137" t="s">
        <v>845</v>
      </c>
      <c r="H107" s="137" t="s">
        <v>846</v>
      </c>
      <c r="I107" s="113" t="s">
        <v>292</v>
      </c>
      <c r="J107" s="108" t="str">
        <f t="shared" si="1"/>
        <v>072904</v>
      </c>
      <c r="L107" s="8">
        <v>0.96</v>
      </c>
      <c r="N107" s="8">
        <v>0.96</v>
      </c>
      <c r="R107" s="8">
        <v>0.96</v>
      </c>
      <c r="S107" s="8">
        <v>0.96</v>
      </c>
      <c r="T107" s="8">
        <v>0.96</v>
      </c>
    </row>
    <row r="108" spans="1:20" ht="15" customHeight="1" x14ac:dyDescent="0.25">
      <c r="A108" t="str">
        <f>Table1[[#This Row],[District name]]&amp;" "&amp;Table1[[#This Row],[District number]]</f>
        <v>BLUM ISD 109913</v>
      </c>
      <c r="B108" t="s">
        <v>847</v>
      </c>
      <c r="C108" s="1"/>
      <c r="D108" t="s">
        <v>848</v>
      </c>
      <c r="E108" s="2" t="s">
        <v>301</v>
      </c>
      <c r="F108" s="137" t="s">
        <v>849</v>
      </c>
      <c r="G108" s="137" t="s">
        <v>850</v>
      </c>
      <c r="H108" s="137" t="s">
        <v>851</v>
      </c>
      <c r="I108" s="113" t="s">
        <v>292</v>
      </c>
      <c r="J108" s="108" t="str">
        <f t="shared" si="1"/>
        <v>109913</v>
      </c>
      <c r="L108" s="8">
        <v>0.97</v>
      </c>
      <c r="N108" s="8">
        <v>0.97</v>
      </c>
      <c r="R108" s="8">
        <v>0.97</v>
      </c>
      <c r="S108" s="8">
        <v>0.97</v>
      </c>
      <c r="T108" s="8">
        <v>0.97</v>
      </c>
    </row>
    <row r="109" spans="1:20" ht="15" customHeight="1" x14ac:dyDescent="0.25">
      <c r="A109" t="str">
        <f>Table1[[#This Row],[District name]]&amp;" "&amp;Table1[[#This Row],[District number]]</f>
        <v>BOB HOPE SCHOOL 123807</v>
      </c>
      <c r="B109" t="s">
        <v>852</v>
      </c>
      <c r="C109" s="1"/>
      <c r="D109" t="s">
        <v>853</v>
      </c>
      <c r="E109" s="2" t="s">
        <v>706</v>
      </c>
      <c r="F109" s="137" t="s">
        <v>854</v>
      </c>
      <c r="G109" s="137" t="s">
        <v>855</v>
      </c>
      <c r="H109" s="137" t="s">
        <v>856</v>
      </c>
      <c r="I109" s="113" t="s">
        <v>292</v>
      </c>
      <c r="J109" s="108" t="str">
        <f t="shared" si="1"/>
        <v>123807</v>
      </c>
      <c r="L109" s="8">
        <v>0.98</v>
      </c>
      <c r="N109" s="8">
        <v>0.98</v>
      </c>
      <c r="R109" s="8">
        <v>0.98</v>
      </c>
      <c r="S109" s="8">
        <v>0.98</v>
      </c>
      <c r="T109" s="8">
        <v>0.98</v>
      </c>
    </row>
    <row r="110" spans="1:20" ht="15" customHeight="1" x14ac:dyDescent="0.25">
      <c r="A110" t="str">
        <f>Table1[[#This Row],[District name]]&amp;" "&amp;Table1[[#This Row],[District number]]</f>
        <v>BOERNE ISD 130901</v>
      </c>
      <c r="B110" t="s">
        <v>857</v>
      </c>
      <c r="C110" s="1"/>
      <c r="D110" t="s">
        <v>858</v>
      </c>
      <c r="E110" s="2" t="s">
        <v>598</v>
      </c>
      <c r="F110" s="137" t="s">
        <v>859</v>
      </c>
      <c r="G110" s="137" t="s">
        <v>860</v>
      </c>
      <c r="H110" s="137" t="s">
        <v>861</v>
      </c>
      <c r="I110" s="113" t="s">
        <v>292</v>
      </c>
      <c r="J110" s="108" t="str">
        <f t="shared" si="1"/>
        <v>130901</v>
      </c>
      <c r="L110" s="8">
        <v>0.99</v>
      </c>
      <c r="N110" s="8">
        <v>0.99</v>
      </c>
      <c r="R110" s="8">
        <v>0.99</v>
      </c>
      <c r="S110" s="8">
        <v>0.99</v>
      </c>
      <c r="T110" s="8">
        <v>0.99</v>
      </c>
    </row>
    <row r="111" spans="1:20" ht="15" customHeight="1" x14ac:dyDescent="0.25">
      <c r="A111" t="str">
        <f>Table1[[#This Row],[District name]]&amp;" "&amp;Table1[[#This Row],[District number]]</f>
        <v>BOLES ISD 116916</v>
      </c>
      <c r="B111" t="s">
        <v>862</v>
      </c>
      <c r="C111" s="1"/>
      <c r="D111" t="s">
        <v>863</v>
      </c>
      <c r="E111" s="2" t="s">
        <v>288</v>
      </c>
      <c r="F111" s="137" t="s">
        <v>864</v>
      </c>
      <c r="G111" s="137" t="s">
        <v>865</v>
      </c>
      <c r="H111" s="137" t="s">
        <v>866</v>
      </c>
      <c r="I111" s="113" t="s">
        <v>292</v>
      </c>
      <c r="J111" s="108" t="str">
        <f t="shared" si="1"/>
        <v>116916</v>
      </c>
      <c r="L111" s="8">
        <v>1</v>
      </c>
      <c r="N111" s="8">
        <v>1</v>
      </c>
      <c r="R111" s="8">
        <v>1</v>
      </c>
      <c r="S111" s="8">
        <v>1</v>
      </c>
      <c r="T111" s="8">
        <v>1</v>
      </c>
    </row>
    <row r="112" spans="1:20" ht="15" customHeight="1" x14ac:dyDescent="0.25">
      <c r="A112" t="str">
        <f>Table1[[#This Row],[District name]]&amp;" "&amp;Table1[[#This Row],[District number]]</f>
        <v>BOLING ISD 241901</v>
      </c>
      <c r="B112" t="s">
        <v>867</v>
      </c>
      <c r="C112" s="1"/>
      <c r="D112" t="s">
        <v>868</v>
      </c>
      <c r="E112" s="2" t="s">
        <v>614</v>
      </c>
      <c r="F112" s="137" t="s">
        <v>390</v>
      </c>
      <c r="G112" s="137" t="s">
        <v>391</v>
      </c>
      <c r="H112" s="137" t="s">
        <v>392</v>
      </c>
      <c r="I112" s="113" t="s">
        <v>292</v>
      </c>
      <c r="J112" s="108" t="str">
        <f t="shared" si="1"/>
        <v>241901</v>
      </c>
    </row>
    <row r="113" spans="1:16" ht="15" customHeight="1" x14ac:dyDescent="0.25">
      <c r="A113" t="str">
        <f>Table1[[#This Row],[District name]]&amp;" "&amp;Table1[[#This Row],[District number]]</f>
        <v>BONHAM ISD 074903</v>
      </c>
      <c r="B113" t="s">
        <v>869</v>
      </c>
      <c r="C113" s="1"/>
      <c r="D113" t="s">
        <v>870</v>
      </c>
      <c r="E113" s="2" t="s">
        <v>288</v>
      </c>
      <c r="F113" s="137" t="s">
        <v>871</v>
      </c>
      <c r="G113" s="137" t="s">
        <v>872</v>
      </c>
      <c r="H113" s="137" t="s">
        <v>873</v>
      </c>
      <c r="I113" s="113" t="s">
        <v>292</v>
      </c>
      <c r="J113" s="108" t="str">
        <f t="shared" si="1"/>
        <v>074903</v>
      </c>
    </row>
    <row r="114" spans="1:16" ht="15" customHeight="1" x14ac:dyDescent="0.25">
      <c r="A114" t="str">
        <f>Table1[[#This Row],[District name]]&amp;" "&amp;Table1[[#This Row],[District number]]</f>
        <v>BOOKER ISD 148901</v>
      </c>
      <c r="B114" t="s">
        <v>874</v>
      </c>
      <c r="C114" s="1"/>
      <c r="D114" t="s">
        <v>875</v>
      </c>
      <c r="E114" s="2" t="s">
        <v>356</v>
      </c>
      <c r="F114" s="137" t="s">
        <v>876</v>
      </c>
      <c r="G114" s="137" t="s">
        <v>877</v>
      </c>
      <c r="H114" s="137" t="s">
        <v>878</v>
      </c>
      <c r="I114" s="113" t="s">
        <v>292</v>
      </c>
      <c r="J114" s="108" t="str">
        <f t="shared" si="1"/>
        <v>148901</v>
      </c>
    </row>
    <row r="115" spans="1:16" ht="15" customHeight="1" x14ac:dyDescent="0.25">
      <c r="A115" t="str">
        <f>Table1[[#This Row],[District name]]&amp;" "&amp;Table1[[#This Row],[District number]]</f>
        <v>BORDEN COUNTY ISD 017901</v>
      </c>
      <c r="B115" t="s">
        <v>879</v>
      </c>
      <c r="C115" s="1"/>
      <c r="D115" t="s">
        <v>880</v>
      </c>
      <c r="E115" s="2" t="s">
        <v>308</v>
      </c>
      <c r="F115" s="137" t="s">
        <v>881</v>
      </c>
      <c r="G115" s="137" t="s">
        <v>882</v>
      </c>
      <c r="H115" s="137" t="s">
        <v>883</v>
      </c>
      <c r="I115" s="113" t="s">
        <v>292</v>
      </c>
      <c r="J115" s="108" t="str">
        <f t="shared" si="1"/>
        <v>017901</v>
      </c>
    </row>
    <row r="116" spans="1:16" ht="15" customHeight="1" x14ac:dyDescent="0.25">
      <c r="A116" t="str">
        <f>Table1[[#This Row],[District name]]&amp;" "&amp;Table1[[#This Row],[District number]]</f>
        <v>BORGER ISD 117901</v>
      </c>
      <c r="B116" t="s">
        <v>884</v>
      </c>
      <c r="C116" s="1"/>
      <c r="D116" t="s">
        <v>885</v>
      </c>
      <c r="E116" s="2" t="s">
        <v>356</v>
      </c>
      <c r="F116" s="137" t="s">
        <v>886</v>
      </c>
      <c r="G116" s="137" t="s">
        <v>887</v>
      </c>
      <c r="H116" s="137" t="s">
        <v>888</v>
      </c>
      <c r="I116" s="113" t="s">
        <v>292</v>
      </c>
      <c r="J116" s="108" t="str">
        <f t="shared" si="1"/>
        <v>117901</v>
      </c>
    </row>
    <row r="117" spans="1:16" ht="15" customHeight="1" x14ac:dyDescent="0.25">
      <c r="A117" t="str">
        <f>Table1[[#This Row],[District name]]&amp;" "&amp;Table1[[#This Row],[District number]]</f>
        <v>BOSQUEVILLE ISD 161923</v>
      </c>
      <c r="B117" t="s">
        <v>889</v>
      </c>
      <c r="C117" s="1"/>
      <c r="D117" t="s">
        <v>890</v>
      </c>
      <c r="E117" s="2" t="s">
        <v>301</v>
      </c>
      <c r="F117" s="137" t="s">
        <v>891</v>
      </c>
      <c r="G117" s="137" t="s">
        <v>892</v>
      </c>
      <c r="H117" s="137" t="s">
        <v>893</v>
      </c>
      <c r="I117" s="113" t="s">
        <v>292</v>
      </c>
      <c r="J117" s="108" t="str">
        <f t="shared" si="1"/>
        <v>161923</v>
      </c>
    </row>
    <row r="118" spans="1:16" ht="15" customHeight="1" x14ac:dyDescent="0.25">
      <c r="A118" t="str">
        <f>Table1[[#This Row],[District name]]&amp;" "&amp;Table1[[#This Row],[District number]]</f>
        <v>BOVINA ISD 185901</v>
      </c>
      <c r="B118" t="s">
        <v>894</v>
      </c>
      <c r="C118" s="1"/>
      <c r="D118" t="s">
        <v>895</v>
      </c>
      <c r="E118" s="2" t="s">
        <v>356</v>
      </c>
      <c r="F118" s="137" t="s">
        <v>896</v>
      </c>
      <c r="G118" s="137" t="s">
        <v>897</v>
      </c>
      <c r="H118" s="137" t="s">
        <v>898</v>
      </c>
      <c r="I118" s="113" t="s">
        <v>292</v>
      </c>
      <c r="J118" s="108" t="str">
        <f t="shared" si="1"/>
        <v>185901</v>
      </c>
    </row>
    <row r="119" spans="1:16" ht="15" customHeight="1" x14ac:dyDescent="0.25">
      <c r="A119" t="str">
        <f>Table1[[#This Row],[District name]]&amp;" "&amp;Table1[[#This Row],[District number]]</f>
        <v>BOWIE ISD 169901</v>
      </c>
      <c r="B119" t="s">
        <v>899</v>
      </c>
      <c r="C119" s="1"/>
      <c r="D119" t="s">
        <v>900</v>
      </c>
      <c r="E119" s="2" t="s">
        <v>541</v>
      </c>
      <c r="F119" s="137" t="s">
        <v>901</v>
      </c>
      <c r="G119" s="137" t="s">
        <v>902</v>
      </c>
      <c r="H119" s="137" t="s">
        <v>903</v>
      </c>
      <c r="I119" s="113" t="s">
        <v>292</v>
      </c>
      <c r="J119" s="108" t="str">
        <f t="shared" si="1"/>
        <v>169901</v>
      </c>
    </row>
    <row r="120" spans="1:16" ht="15" customHeight="1" x14ac:dyDescent="0.25">
      <c r="A120" t="str">
        <f>Table1[[#This Row],[District name]]&amp;" "&amp;Table1[[#This Row],[District number]]</f>
        <v>BOYD ISD 249902</v>
      </c>
      <c r="B120" t="s">
        <v>904</v>
      </c>
      <c r="C120" s="1"/>
      <c r="D120" t="s">
        <v>905</v>
      </c>
      <c r="E120" s="2" t="s">
        <v>402</v>
      </c>
      <c r="F120" s="137" t="s">
        <v>906</v>
      </c>
      <c r="G120" s="137" t="s">
        <v>907</v>
      </c>
      <c r="H120" s="137" t="s">
        <v>908</v>
      </c>
      <c r="I120" s="113" t="s">
        <v>292</v>
      </c>
      <c r="J120" s="108" t="str">
        <f t="shared" si="1"/>
        <v>249902</v>
      </c>
    </row>
    <row r="121" spans="1:16" ht="15" customHeight="1" x14ac:dyDescent="0.25">
      <c r="A121" t="str">
        <f>Table1[[#This Row],[District name]]&amp;" "&amp;Table1[[#This Row],[District number]]</f>
        <v>BOYS RANCH ISD 180901</v>
      </c>
      <c r="B121" t="s">
        <v>909</v>
      </c>
      <c r="C121" s="1"/>
      <c r="D121" t="s">
        <v>910</v>
      </c>
      <c r="E121" s="2" t="s">
        <v>356</v>
      </c>
      <c r="F121" s="137" t="s">
        <v>911</v>
      </c>
      <c r="G121" s="137" t="s">
        <v>912</v>
      </c>
      <c r="H121" s="137" t="s">
        <v>913</v>
      </c>
      <c r="I121" s="113" t="s">
        <v>292</v>
      </c>
      <c r="J121" s="108" t="str">
        <f t="shared" si="1"/>
        <v>180901</v>
      </c>
    </row>
    <row r="122" spans="1:16" ht="15" customHeight="1" x14ac:dyDescent="0.25">
      <c r="A122" t="str">
        <f>Table1[[#This Row],[District name]]&amp;" "&amp;Table1[[#This Row],[District number]]</f>
        <v>BRACKETT ISD 136901</v>
      </c>
      <c r="B122" t="s">
        <v>914</v>
      </c>
      <c r="C122" s="1"/>
      <c r="D122" t="s">
        <v>915</v>
      </c>
      <c r="E122" s="2" t="s">
        <v>376</v>
      </c>
      <c r="F122" s="137" t="s">
        <v>916</v>
      </c>
      <c r="G122" s="137" t="s">
        <v>917</v>
      </c>
      <c r="H122" s="137" t="s">
        <v>918</v>
      </c>
      <c r="I122" s="113" t="s">
        <v>292</v>
      </c>
      <c r="J122" s="108" t="str">
        <f t="shared" si="1"/>
        <v>136901</v>
      </c>
    </row>
    <row r="123" spans="1:16" ht="15" customHeight="1" x14ac:dyDescent="0.25">
      <c r="A123" t="str">
        <f>Table1[[#This Row],[District name]]&amp;" "&amp;Table1[[#This Row],[District number]]</f>
        <v>BRADY ISD 160901</v>
      </c>
      <c r="B123" t="s">
        <v>919</v>
      </c>
      <c r="C123" s="1"/>
      <c r="D123" t="s">
        <v>920</v>
      </c>
      <c r="E123" s="2" t="s">
        <v>650</v>
      </c>
      <c r="F123" s="137" t="s">
        <v>921</v>
      </c>
      <c r="G123" s="137" t="s">
        <v>922</v>
      </c>
      <c r="H123" s="137" t="s">
        <v>923</v>
      </c>
      <c r="I123" s="113" t="s">
        <v>292</v>
      </c>
      <c r="J123" s="108" t="str">
        <f t="shared" si="1"/>
        <v>160901</v>
      </c>
    </row>
    <row r="124" spans="1:16" ht="15" customHeight="1" x14ac:dyDescent="0.25">
      <c r="A124" t="str">
        <f>Table1[[#This Row],[District name]]&amp;" "&amp;Table1[[#This Row],[District number]]</f>
        <v>BRAZOS ISD 008903</v>
      </c>
      <c r="B124" t="s">
        <v>924</v>
      </c>
      <c r="C124" s="1"/>
      <c r="D124" t="s">
        <v>925</v>
      </c>
      <c r="E124" s="2" t="s">
        <v>480</v>
      </c>
      <c r="F124" s="137" t="s">
        <v>926</v>
      </c>
      <c r="G124" s="137" t="s">
        <v>927</v>
      </c>
      <c r="H124" s="137" t="s">
        <v>928</v>
      </c>
      <c r="I124" s="113" t="s">
        <v>292</v>
      </c>
      <c r="J124" s="108" t="str">
        <f t="shared" si="1"/>
        <v>008903</v>
      </c>
      <c r="L124" s="6" t="s">
        <v>929</v>
      </c>
    </row>
    <row r="125" spans="1:16" ht="15" customHeight="1" x14ac:dyDescent="0.25">
      <c r="A125" t="str">
        <f>Table1[[#This Row],[District name]]&amp;" "&amp;Table1[[#This Row],[District number]]</f>
        <v>BRAZOS RIVER CHARTER SCHOOL 213801</v>
      </c>
      <c r="B125" t="s">
        <v>930</v>
      </c>
      <c r="C125" s="1"/>
      <c r="D125" t="s">
        <v>931</v>
      </c>
      <c r="E125" s="2" t="s">
        <v>402</v>
      </c>
      <c r="F125" s="137" t="s">
        <v>932</v>
      </c>
      <c r="G125" s="137" t="s">
        <v>933</v>
      </c>
      <c r="H125" s="137" t="s">
        <v>934</v>
      </c>
      <c r="I125" s="113" t="s">
        <v>292</v>
      </c>
      <c r="J125" s="108" t="str">
        <f t="shared" si="1"/>
        <v>213801</v>
      </c>
    </row>
    <row r="126" spans="1:16" ht="15" customHeight="1" x14ac:dyDescent="0.25">
      <c r="A126" t="str">
        <f>Table1[[#This Row],[District name]]&amp;" "&amp;Table1[[#This Row],[District number]]</f>
        <v>BRAZOS SCHOOL FOR INQUIRY &amp; CREATIVITY 021803</v>
      </c>
      <c r="B126" t="s">
        <v>935</v>
      </c>
      <c r="C126" s="1"/>
      <c r="D126" t="s">
        <v>936</v>
      </c>
      <c r="E126" s="2" t="s">
        <v>480</v>
      </c>
      <c r="F126" s="137" t="s">
        <v>937</v>
      </c>
      <c r="G126" s="137" t="s">
        <v>938</v>
      </c>
      <c r="H126" s="137" t="s">
        <v>939</v>
      </c>
      <c r="I126" s="113" t="s">
        <v>292</v>
      </c>
      <c r="J126" s="108" t="str">
        <f t="shared" si="1"/>
        <v>021803</v>
      </c>
      <c r="M126" t="s">
        <v>940</v>
      </c>
      <c r="N126" t="s">
        <v>941</v>
      </c>
      <c r="O126" s="35" t="s">
        <v>942</v>
      </c>
      <c r="P126" s="35"/>
    </row>
    <row r="127" spans="1:16" ht="15" customHeight="1" x14ac:dyDescent="0.25">
      <c r="A127" t="str">
        <f>Table1[[#This Row],[District name]]&amp;" "&amp;Table1[[#This Row],[District number]]</f>
        <v>BRAZOSPORT ISD 020905</v>
      </c>
      <c r="B127" t="s">
        <v>943</v>
      </c>
      <c r="C127" s="1"/>
      <c r="D127" t="s">
        <v>944</v>
      </c>
      <c r="E127" s="2" t="s">
        <v>295</v>
      </c>
      <c r="F127" s="137" t="s">
        <v>945</v>
      </c>
      <c r="G127" s="137" t="s">
        <v>946</v>
      </c>
      <c r="H127" s="137" t="s">
        <v>947</v>
      </c>
      <c r="I127" s="113" t="s">
        <v>292</v>
      </c>
      <c r="J127" s="108" t="str">
        <f t="shared" si="1"/>
        <v>020905</v>
      </c>
      <c r="L127" t="s">
        <v>948</v>
      </c>
      <c r="M127" s="5">
        <f>Allotments!$C$35</f>
        <v>0</v>
      </c>
      <c r="N127" s="5">
        <f>Allotments!$D$35</f>
        <v>0</v>
      </c>
      <c r="O127" s="5">
        <f>Allotments!$E$35</f>
        <v>0</v>
      </c>
      <c r="P127" s="5"/>
    </row>
    <row r="128" spans="1:16" ht="15" customHeight="1" x14ac:dyDescent="0.25">
      <c r="A128" t="str">
        <f>Table1[[#This Row],[District name]]&amp;" "&amp;Table1[[#This Row],[District number]]</f>
        <v>BRECKENRIDGE ISD 215901</v>
      </c>
      <c r="B128" t="s">
        <v>949</v>
      </c>
      <c r="C128" s="1"/>
      <c r="D128" t="s">
        <v>950</v>
      </c>
      <c r="E128" s="2" t="s">
        <v>314</v>
      </c>
      <c r="F128" s="137" t="s">
        <v>951</v>
      </c>
      <c r="G128" s="137" t="s">
        <v>952</v>
      </c>
      <c r="H128" s="137" t="s">
        <v>953</v>
      </c>
      <c r="I128" s="113" t="s">
        <v>292</v>
      </c>
      <c r="J128" s="108" t="str">
        <f t="shared" si="1"/>
        <v>215901</v>
      </c>
    </row>
    <row r="129" spans="1:18" ht="15" customHeight="1" x14ac:dyDescent="0.25">
      <c r="A129" t="str">
        <f>Table1[[#This Row],[District name]]&amp;" "&amp;Table1[[#This Row],[District number]]</f>
        <v>BREMOND ISD 198901</v>
      </c>
      <c r="B129" t="s">
        <v>954</v>
      </c>
      <c r="C129" s="1"/>
      <c r="D129" t="s">
        <v>955</v>
      </c>
      <c r="E129" s="2" t="s">
        <v>480</v>
      </c>
      <c r="F129" s="137" t="s">
        <v>956</v>
      </c>
      <c r="G129" s="137" t="s">
        <v>957</v>
      </c>
      <c r="H129" s="137" t="s">
        <v>958</v>
      </c>
      <c r="I129" s="113" t="s">
        <v>292</v>
      </c>
      <c r="J129" s="108" t="str">
        <f t="shared" si="1"/>
        <v>198901</v>
      </c>
    </row>
    <row r="130" spans="1:18" ht="15" customHeight="1" x14ac:dyDescent="0.25">
      <c r="A130" t="str">
        <f>Table1[[#This Row],[District name]]&amp;" "&amp;Table1[[#This Row],[District number]]</f>
        <v>BRENHAM ISD 239901</v>
      </c>
      <c r="B130" t="s">
        <v>959</v>
      </c>
      <c r="C130" s="1"/>
      <c r="D130" t="s">
        <v>960</v>
      </c>
      <c r="E130" s="2" t="s">
        <v>480</v>
      </c>
      <c r="F130" s="137" t="s">
        <v>961</v>
      </c>
      <c r="G130" s="137" t="s">
        <v>962</v>
      </c>
      <c r="H130" s="137" t="s">
        <v>963</v>
      </c>
      <c r="I130" s="113" t="s">
        <v>292</v>
      </c>
      <c r="J130" s="108" t="str">
        <f t="shared" si="1"/>
        <v>239901</v>
      </c>
      <c r="L130" t="s">
        <v>964</v>
      </c>
    </row>
    <row r="131" spans="1:18" ht="15" customHeight="1" x14ac:dyDescent="0.25">
      <c r="A131" t="str">
        <f>Table1[[#This Row],[District name]]&amp;" "&amp;Table1[[#This Row],[District number]]</f>
        <v>BRIDGE CITY ISD 181901</v>
      </c>
      <c r="B131" t="s">
        <v>965</v>
      </c>
      <c r="C131" s="1"/>
      <c r="D131" t="s">
        <v>966</v>
      </c>
      <c r="E131" s="2" t="s">
        <v>706</v>
      </c>
      <c r="F131" s="137" t="s">
        <v>967</v>
      </c>
      <c r="G131" s="137" t="s">
        <v>968</v>
      </c>
      <c r="H131" s="137" t="s">
        <v>969</v>
      </c>
      <c r="I131" s="113" t="s">
        <v>292</v>
      </c>
      <c r="J131" s="108" t="str">
        <f t="shared" ref="J131:J194" si="2">LEFT(B131,6)</f>
        <v>181901</v>
      </c>
      <c r="L131" t="s">
        <v>15</v>
      </c>
      <c r="M131" t="s">
        <v>16</v>
      </c>
      <c r="N131" t="s">
        <v>17</v>
      </c>
      <c r="O131" s="8" t="s">
        <v>941</v>
      </c>
      <c r="P131" s="8"/>
      <c r="Q131" s="8"/>
      <c r="R131" s="8"/>
    </row>
    <row r="132" spans="1:18" ht="15" customHeight="1" x14ac:dyDescent="0.25">
      <c r="A132" t="str">
        <f>Table1[[#This Row],[District name]]&amp;" "&amp;Table1[[#This Row],[District number]]</f>
        <v>BRIDGEPORT ISD 249903</v>
      </c>
      <c r="B132" t="s">
        <v>970</v>
      </c>
      <c r="C132" s="1"/>
      <c r="D132" t="s">
        <v>971</v>
      </c>
      <c r="E132" s="2" t="s">
        <v>402</v>
      </c>
      <c r="F132" s="137" t="s">
        <v>972</v>
      </c>
      <c r="G132" s="137" t="s">
        <v>973</v>
      </c>
      <c r="H132" s="137" t="s">
        <v>974</v>
      </c>
      <c r="I132" s="113" t="s">
        <v>292</v>
      </c>
      <c r="J132" s="108" t="str">
        <f t="shared" si="2"/>
        <v>249903</v>
      </c>
      <c r="L132" s="5">
        <f>'Stipend-Based Plan'!V102</f>
        <v>0</v>
      </c>
      <c r="M132" s="5">
        <f>'Stipend-Based Plan'!W102</f>
        <v>0</v>
      </c>
      <c r="N132" s="5">
        <f>'Stipend-Based Plan'!X102</f>
        <v>0</v>
      </c>
      <c r="O132" s="5">
        <f>'Stipend-Based Plan'!Y102</f>
        <v>0</v>
      </c>
    </row>
    <row r="133" spans="1:18" ht="15" customHeight="1" x14ac:dyDescent="0.25">
      <c r="A133" t="str">
        <f>Table1[[#This Row],[District name]]&amp;" "&amp;Table1[[#This Row],[District number]]</f>
        <v>BRIDGEWAY PREPARATORY ACADEMY 057851</v>
      </c>
      <c r="B133" t="s">
        <v>975</v>
      </c>
      <c r="C133" s="1"/>
      <c r="D133" t="s">
        <v>976</v>
      </c>
      <c r="E133" s="2" t="s">
        <v>288</v>
      </c>
      <c r="F133" s="137" t="s">
        <v>977</v>
      </c>
      <c r="G133" s="137" t="s">
        <v>978</v>
      </c>
      <c r="H133" s="137" t="s">
        <v>979</v>
      </c>
      <c r="I133" s="113" t="s">
        <v>292</v>
      </c>
      <c r="J133" s="108" t="str">
        <f t="shared" si="2"/>
        <v>057851</v>
      </c>
    </row>
    <row r="134" spans="1:18" ht="15" customHeight="1" x14ac:dyDescent="0.25">
      <c r="A134" t="s">
        <v>980</v>
      </c>
      <c r="B134" t="s">
        <v>981</v>
      </c>
      <c r="C134" s="1"/>
      <c r="D134" t="s">
        <v>980</v>
      </c>
      <c r="E134" s="2" t="s">
        <v>982</v>
      </c>
      <c r="F134" s="137" t="s">
        <v>983</v>
      </c>
      <c r="G134" s="137" t="s">
        <v>984</v>
      </c>
      <c r="H134" s="137" t="s">
        <v>985</v>
      </c>
      <c r="I134" s="113" t="s">
        <v>292</v>
      </c>
      <c r="J134" s="108" t="str">
        <f>LEFT(B134,6)</f>
        <v>108810</v>
      </c>
      <c r="L134" s="36"/>
      <c r="M134" s="36"/>
      <c r="N134" s="36"/>
      <c r="O134" s="36"/>
      <c r="P134" s="36"/>
      <c r="Q134" s="36"/>
      <c r="R134" s="36"/>
    </row>
    <row r="135" spans="1:18" ht="15" customHeight="1" x14ac:dyDescent="0.25">
      <c r="A135" t="str">
        <f>Table1[[#This Row],[District name]]&amp;" "&amp;Table1[[#This Row],[District number]]</f>
        <v>BROADDUS ISD 203902</v>
      </c>
      <c r="B135" t="s">
        <v>986</v>
      </c>
      <c r="C135" s="1"/>
      <c r="D135" t="s">
        <v>987</v>
      </c>
      <c r="E135" s="2" t="s">
        <v>383</v>
      </c>
      <c r="F135" s="137" t="s">
        <v>988</v>
      </c>
      <c r="G135" s="137" t="s">
        <v>989</v>
      </c>
      <c r="H135" s="137" t="s">
        <v>990</v>
      </c>
      <c r="I135" s="113" t="s">
        <v>292</v>
      </c>
      <c r="J135" s="108" t="str">
        <f t="shared" si="2"/>
        <v>203902</v>
      </c>
    </row>
    <row r="136" spans="1:18" ht="15" customHeight="1" x14ac:dyDescent="0.25">
      <c r="A136" t="str">
        <f>Table1[[#This Row],[District name]]&amp;" "&amp;Table1[[#This Row],[District number]]</f>
        <v>BROCK ISD 184909</v>
      </c>
      <c r="B136" t="s">
        <v>991</v>
      </c>
      <c r="C136" s="1"/>
      <c r="D136" t="s">
        <v>992</v>
      </c>
      <c r="E136" s="2" t="s">
        <v>402</v>
      </c>
      <c r="F136" s="137" t="s">
        <v>993</v>
      </c>
      <c r="G136" s="137" t="s">
        <v>994</v>
      </c>
      <c r="H136" s="137" t="s">
        <v>995</v>
      </c>
      <c r="I136" s="113" t="s">
        <v>292</v>
      </c>
      <c r="J136" s="108" t="str">
        <f t="shared" si="2"/>
        <v>184909</v>
      </c>
    </row>
    <row r="137" spans="1:18" ht="15" customHeight="1" x14ac:dyDescent="0.25">
      <c r="A137" t="str">
        <f>Table1[[#This Row],[District name]]&amp;" "&amp;Table1[[#This Row],[District number]]</f>
        <v>BRONTE ISD 041901</v>
      </c>
      <c r="B137" t="s">
        <v>996</v>
      </c>
      <c r="C137" s="1"/>
      <c r="D137" t="s">
        <v>997</v>
      </c>
      <c r="E137" s="2" t="s">
        <v>650</v>
      </c>
      <c r="F137" s="137" t="s">
        <v>998</v>
      </c>
      <c r="G137" s="137" t="s">
        <v>999</v>
      </c>
      <c r="H137" s="137" t="s">
        <v>1000</v>
      </c>
      <c r="I137" s="113" t="s">
        <v>292</v>
      </c>
      <c r="J137" s="108" t="str">
        <f t="shared" si="2"/>
        <v>041901</v>
      </c>
      <c r="L137" t="s">
        <v>15</v>
      </c>
      <c r="M137" t="s">
        <v>16</v>
      </c>
      <c r="N137" t="s">
        <v>17</v>
      </c>
    </row>
    <row r="138" spans="1:18" ht="15" customHeight="1" x14ac:dyDescent="0.25">
      <c r="A138" t="str">
        <f>Table1[[#This Row],[District name]]&amp;" "&amp;Table1[[#This Row],[District number]]</f>
        <v>BROOKELAND ISD 121902</v>
      </c>
      <c r="B138" t="s">
        <v>1001</v>
      </c>
      <c r="C138" s="1"/>
      <c r="D138" t="s">
        <v>1002</v>
      </c>
      <c r="E138" s="2" t="s">
        <v>706</v>
      </c>
      <c r="F138" s="137" t="s">
        <v>1003</v>
      </c>
      <c r="G138" s="137" t="s">
        <v>1004</v>
      </c>
      <c r="H138" s="137" t="s">
        <v>1005</v>
      </c>
      <c r="I138" s="113" t="s">
        <v>292</v>
      </c>
      <c r="J138" s="108" t="str">
        <f t="shared" si="2"/>
        <v>121902</v>
      </c>
      <c r="L138" s="5">
        <f>Allotments!B24</f>
        <v>20382</v>
      </c>
      <c r="M138" s="5">
        <f>Allotments!C24</f>
        <v>40761</v>
      </c>
      <c r="N138" s="5">
        <f>Allotments!D24</f>
        <v>24645</v>
      </c>
    </row>
    <row r="139" spans="1:18" ht="15" customHeight="1" x14ac:dyDescent="0.25">
      <c r="A139" t="str">
        <f>Table1[[#This Row],[District name]]&amp;" "&amp;Table1[[#This Row],[District number]]</f>
        <v>BROOKESMITH ISD 025908</v>
      </c>
      <c r="B139" t="s">
        <v>1006</v>
      </c>
      <c r="C139" s="1"/>
      <c r="D139" t="s">
        <v>1007</v>
      </c>
      <c r="E139" s="2" t="s">
        <v>650</v>
      </c>
      <c r="F139" s="137" t="s">
        <v>1008</v>
      </c>
      <c r="G139" s="137" t="s">
        <v>1009</v>
      </c>
      <c r="H139" s="137" t="s">
        <v>1010</v>
      </c>
      <c r="I139" s="113" t="s">
        <v>292</v>
      </c>
      <c r="J139" s="108" t="str">
        <f t="shared" si="2"/>
        <v>025908</v>
      </c>
    </row>
    <row r="140" spans="1:18" ht="15" customHeight="1" x14ac:dyDescent="0.25">
      <c r="A140" t="str">
        <f>Table1[[#This Row],[District name]]&amp;" "&amp;Table1[[#This Row],[District number]]</f>
        <v>BROOKS ACADEMIES OF TEXAS 015830</v>
      </c>
      <c r="B140" t="s">
        <v>1011</v>
      </c>
      <c r="C140" s="1"/>
      <c r="D140" t="s">
        <v>1012</v>
      </c>
      <c r="E140" s="2" t="s">
        <v>376</v>
      </c>
      <c r="F140" s="137" t="s">
        <v>1013</v>
      </c>
      <c r="G140" s="137" t="s">
        <v>1014</v>
      </c>
      <c r="H140" s="137" t="s">
        <v>1015</v>
      </c>
      <c r="I140" s="113" t="s">
        <v>292</v>
      </c>
      <c r="J140" s="108" t="str">
        <f t="shared" si="2"/>
        <v>015830</v>
      </c>
    </row>
    <row r="141" spans="1:18" ht="15" customHeight="1" x14ac:dyDescent="0.25">
      <c r="A141" t="str">
        <f>Table1[[#This Row],[District name]]&amp;" "&amp;Table1[[#This Row],[District number]]</f>
        <v>BROOKS COUNTY ISD 024901</v>
      </c>
      <c r="B141" t="s">
        <v>1016</v>
      </c>
      <c r="C141" s="1"/>
      <c r="D141" t="s">
        <v>1017</v>
      </c>
      <c r="E141" s="2" t="s">
        <v>369</v>
      </c>
      <c r="F141" s="137" t="s">
        <v>1018</v>
      </c>
      <c r="G141" s="137" t="s">
        <v>1019</v>
      </c>
      <c r="H141" s="137" t="s">
        <v>1020</v>
      </c>
      <c r="I141" s="113" t="s">
        <v>292</v>
      </c>
      <c r="J141" s="108" t="str">
        <f t="shared" si="2"/>
        <v>024901</v>
      </c>
    </row>
    <row r="142" spans="1:18" ht="15" customHeight="1" x14ac:dyDescent="0.25">
      <c r="A142" t="str">
        <f>Table1[[#This Row],[District name]]&amp;" "&amp;Table1[[#This Row],[District number]]</f>
        <v>BROWNFIELD ISD 223901</v>
      </c>
      <c r="B142" t="s">
        <v>1021</v>
      </c>
      <c r="C142" s="1"/>
      <c r="D142" t="s">
        <v>1022</v>
      </c>
      <c r="E142" s="2" t="s">
        <v>308</v>
      </c>
      <c r="F142" s="137" t="s">
        <v>1023</v>
      </c>
      <c r="G142" s="137" t="s">
        <v>1024</v>
      </c>
      <c r="H142" s="137" t="s">
        <v>1025</v>
      </c>
      <c r="I142" s="113" t="s">
        <v>292</v>
      </c>
      <c r="J142" s="108" t="str">
        <f t="shared" si="2"/>
        <v>223901</v>
      </c>
      <c r="M142" s="5"/>
    </row>
    <row r="143" spans="1:18" ht="15" customHeight="1" x14ac:dyDescent="0.25">
      <c r="A143" t="str">
        <f>Table1[[#This Row],[District name]]&amp;" "&amp;Table1[[#This Row],[District number]]</f>
        <v>BROWNSBORO ISD 107902</v>
      </c>
      <c r="B143" t="s">
        <v>1026</v>
      </c>
      <c r="C143" s="1"/>
      <c r="D143" t="s">
        <v>1027</v>
      </c>
      <c r="E143" s="2" t="s">
        <v>383</v>
      </c>
      <c r="F143" s="137" t="s">
        <v>1028</v>
      </c>
      <c r="G143" s="137" t="s">
        <v>1029</v>
      </c>
      <c r="H143" s="137" t="s">
        <v>1030</v>
      </c>
      <c r="I143" s="113" t="s">
        <v>292</v>
      </c>
      <c r="J143" s="108" t="str">
        <f t="shared" si="2"/>
        <v>107902</v>
      </c>
      <c r="M143" s="5"/>
    </row>
    <row r="144" spans="1:18" ht="15" customHeight="1" x14ac:dyDescent="0.25">
      <c r="A144" t="str">
        <f>Table1[[#This Row],[District name]]&amp;" "&amp;Table1[[#This Row],[District number]]</f>
        <v>BROWNSVILLE ISD 031901</v>
      </c>
      <c r="B144" t="s">
        <v>1031</v>
      </c>
      <c r="C144" s="1"/>
      <c r="D144" t="s">
        <v>1032</v>
      </c>
      <c r="E144" s="2" t="s">
        <v>982</v>
      </c>
      <c r="F144" s="137" t="s">
        <v>1033</v>
      </c>
      <c r="G144" s="137" t="s">
        <v>1034</v>
      </c>
      <c r="H144" s="137" t="s">
        <v>1035</v>
      </c>
      <c r="I144" s="113" t="s">
        <v>292</v>
      </c>
      <c r="J144" s="108" t="str">
        <f t="shared" si="2"/>
        <v>031901</v>
      </c>
      <c r="M144" s="5"/>
    </row>
    <row r="145" spans="1:13" ht="15" customHeight="1" x14ac:dyDescent="0.25">
      <c r="A145" t="str">
        <f>Table1[[#This Row],[District name]]&amp;" "&amp;Table1[[#This Row],[District number]]</f>
        <v>BROWNWOOD ISD 025902</v>
      </c>
      <c r="B145" t="s">
        <v>1036</v>
      </c>
      <c r="C145" s="1"/>
      <c r="D145" t="s">
        <v>1037</v>
      </c>
      <c r="E145" s="2" t="s">
        <v>650</v>
      </c>
      <c r="F145" s="137" t="s">
        <v>1038</v>
      </c>
      <c r="G145" s="137" t="s">
        <v>1039</v>
      </c>
      <c r="H145" s="137" t="s">
        <v>1040</v>
      </c>
      <c r="I145" s="113" t="s">
        <v>292</v>
      </c>
      <c r="J145" s="108" t="str">
        <f t="shared" si="2"/>
        <v>025902</v>
      </c>
      <c r="M145" s="5"/>
    </row>
    <row r="146" spans="1:13" ht="15" customHeight="1" x14ac:dyDescent="0.25">
      <c r="A146" t="str">
        <f>Table1[[#This Row],[District name]]&amp;" "&amp;Table1[[#This Row],[District number]]</f>
        <v>BRUCEVILLE-EDDY ISD 161919</v>
      </c>
      <c r="B146" t="s">
        <v>1041</v>
      </c>
      <c r="C146" s="1"/>
      <c r="D146" t="s">
        <v>1042</v>
      </c>
      <c r="E146" s="2" t="s">
        <v>301</v>
      </c>
      <c r="F146" s="137" t="s">
        <v>1043</v>
      </c>
      <c r="G146" s="137" t="s">
        <v>1044</v>
      </c>
      <c r="H146" s="137" t="s">
        <v>1045</v>
      </c>
      <c r="I146" s="113" t="s">
        <v>292</v>
      </c>
      <c r="J146" s="108" t="str">
        <f t="shared" si="2"/>
        <v>161919</v>
      </c>
      <c r="M146" s="5"/>
    </row>
    <row r="147" spans="1:13" ht="15" customHeight="1" x14ac:dyDescent="0.25">
      <c r="A147" t="str">
        <f>Table1[[#This Row],[District name]]&amp;" "&amp;Table1[[#This Row],[District number]]</f>
        <v>BRYAN ISD 021902</v>
      </c>
      <c r="B147" t="s">
        <v>1046</v>
      </c>
      <c r="C147" s="1"/>
      <c r="D147" t="s">
        <v>1047</v>
      </c>
      <c r="E147" s="2" t="s">
        <v>480</v>
      </c>
      <c r="F147" s="137" t="s">
        <v>1048</v>
      </c>
      <c r="G147" s="137" t="s">
        <v>1049</v>
      </c>
      <c r="H147" s="137" t="s">
        <v>1050</v>
      </c>
      <c r="I147" s="113" t="s">
        <v>292</v>
      </c>
      <c r="J147" s="108" t="str">
        <f t="shared" si="2"/>
        <v>021902</v>
      </c>
      <c r="M147" s="5"/>
    </row>
    <row r="148" spans="1:13" ht="15" customHeight="1" x14ac:dyDescent="0.25">
      <c r="A148" t="str">
        <f>Table1[[#This Row],[District name]]&amp;" "&amp;Table1[[#This Row],[District number]]</f>
        <v>BRYSON ISD 119901</v>
      </c>
      <c r="B148" t="s">
        <v>1051</v>
      </c>
      <c r="C148" s="1"/>
      <c r="D148" t="s">
        <v>1052</v>
      </c>
      <c r="E148" s="2" t="s">
        <v>541</v>
      </c>
      <c r="F148" s="137" t="s">
        <v>1053</v>
      </c>
      <c r="G148" s="137" t="s">
        <v>1054</v>
      </c>
      <c r="H148" s="137" t="s">
        <v>1055</v>
      </c>
      <c r="I148" s="113" t="s">
        <v>292</v>
      </c>
      <c r="J148" s="108" t="str">
        <f t="shared" si="2"/>
        <v>119901</v>
      </c>
      <c r="M148" s="5"/>
    </row>
    <row r="149" spans="1:13" ht="15" customHeight="1" x14ac:dyDescent="0.25">
      <c r="A149" t="str">
        <f>Table1[[#This Row],[District name]]&amp;" "&amp;Table1[[#This Row],[District number]]</f>
        <v>BUCKHOLTS ISD 166907</v>
      </c>
      <c r="B149" t="s">
        <v>1056</v>
      </c>
      <c r="C149" s="1"/>
      <c r="D149" t="s">
        <v>1057</v>
      </c>
      <c r="E149" s="2" t="s">
        <v>480</v>
      </c>
      <c r="F149" s="137" t="s">
        <v>1058</v>
      </c>
      <c r="G149" s="137" t="s">
        <v>1059</v>
      </c>
      <c r="H149" s="137" t="s">
        <v>1060</v>
      </c>
      <c r="I149" s="113" t="s">
        <v>292</v>
      </c>
      <c r="J149" s="108" t="str">
        <f t="shared" si="2"/>
        <v>166907</v>
      </c>
      <c r="M149" s="5"/>
    </row>
    <row r="150" spans="1:13" ht="15" customHeight="1" x14ac:dyDescent="0.25">
      <c r="A150" t="str">
        <f>Table1[[#This Row],[District name]]&amp;" "&amp;Table1[[#This Row],[District number]]</f>
        <v>BUENA VISTA ISD 186901</v>
      </c>
      <c r="B150" t="s">
        <v>1061</v>
      </c>
      <c r="C150" s="1"/>
      <c r="D150" t="s">
        <v>1062</v>
      </c>
      <c r="E150" s="2" t="s">
        <v>430</v>
      </c>
      <c r="F150" s="137" t="s">
        <v>1063</v>
      </c>
      <c r="G150" s="137" t="s">
        <v>1064</v>
      </c>
      <c r="H150" s="137" t="s">
        <v>1065</v>
      </c>
      <c r="I150" s="113" t="s">
        <v>292</v>
      </c>
      <c r="J150" s="108" t="str">
        <f t="shared" si="2"/>
        <v>186901</v>
      </c>
      <c r="M150" s="5"/>
    </row>
    <row r="151" spans="1:13" ht="15" customHeight="1" x14ac:dyDescent="0.25">
      <c r="A151" t="str">
        <f>Table1[[#This Row],[District name]]&amp;" "&amp;Table1[[#This Row],[District number]]</f>
        <v>BUFFALO ISD 145901</v>
      </c>
      <c r="B151" t="s">
        <v>1066</v>
      </c>
      <c r="C151" s="1"/>
      <c r="D151" t="s">
        <v>1067</v>
      </c>
      <c r="E151" s="2" t="s">
        <v>480</v>
      </c>
      <c r="F151" s="137" t="s">
        <v>1068</v>
      </c>
      <c r="G151" s="137" t="s">
        <v>1069</v>
      </c>
      <c r="H151" s="137" t="s">
        <v>1070</v>
      </c>
      <c r="I151" s="113" t="s">
        <v>292</v>
      </c>
      <c r="J151" s="108" t="str">
        <f t="shared" si="2"/>
        <v>145901</v>
      </c>
      <c r="M151" s="5"/>
    </row>
    <row r="152" spans="1:13" ht="15" customHeight="1" x14ac:dyDescent="0.25">
      <c r="A152" t="str">
        <f>Table1[[#This Row],[District name]]&amp;" "&amp;Table1[[#This Row],[District number]]</f>
        <v>BULLARD ISD 212902</v>
      </c>
      <c r="B152" t="s">
        <v>1071</v>
      </c>
      <c r="C152" s="1"/>
      <c r="D152" t="s">
        <v>1072</v>
      </c>
      <c r="E152" s="2" t="s">
        <v>383</v>
      </c>
      <c r="F152" s="137" t="s">
        <v>1073</v>
      </c>
      <c r="G152" s="137" t="s">
        <v>1074</v>
      </c>
      <c r="H152" s="137" t="s">
        <v>1075</v>
      </c>
      <c r="I152" s="113" t="s">
        <v>292</v>
      </c>
      <c r="J152" s="108" t="str">
        <f t="shared" si="2"/>
        <v>212902</v>
      </c>
      <c r="M152" s="5"/>
    </row>
    <row r="153" spans="1:13" ht="15" customHeight="1" x14ac:dyDescent="0.25">
      <c r="A153" t="str">
        <f>Table1[[#This Row],[District name]]&amp;" "&amp;Table1[[#This Row],[District number]]</f>
        <v>BUNA ISD 121903</v>
      </c>
      <c r="B153" t="s">
        <v>1076</v>
      </c>
      <c r="C153" s="1"/>
      <c r="D153" t="s">
        <v>1077</v>
      </c>
      <c r="E153" s="2" t="s">
        <v>706</v>
      </c>
      <c r="F153" s="137" t="s">
        <v>1078</v>
      </c>
      <c r="G153" s="137" t="s">
        <v>1079</v>
      </c>
      <c r="H153" s="137" t="s">
        <v>1080</v>
      </c>
      <c r="I153" s="113" t="s">
        <v>292</v>
      </c>
      <c r="J153" s="108" t="str">
        <f t="shared" si="2"/>
        <v>121903</v>
      </c>
    </row>
    <row r="154" spans="1:13" ht="15" customHeight="1" x14ac:dyDescent="0.25">
      <c r="A154" t="str">
        <f>Table1[[#This Row],[District name]]&amp;" "&amp;Table1[[#This Row],[District number]]</f>
        <v>BURKBURNETT ISD 243901</v>
      </c>
      <c r="B154" t="s">
        <v>1081</v>
      </c>
      <c r="C154" s="1"/>
      <c r="D154" t="s">
        <v>1082</v>
      </c>
      <c r="E154" s="2" t="s">
        <v>541</v>
      </c>
      <c r="F154" s="137" t="s">
        <v>1083</v>
      </c>
      <c r="G154" s="137" t="s">
        <v>1084</v>
      </c>
      <c r="H154" s="137" t="s">
        <v>1085</v>
      </c>
      <c r="I154" s="113" t="s">
        <v>292</v>
      </c>
      <c r="J154" s="108" t="str">
        <f t="shared" si="2"/>
        <v>243901</v>
      </c>
    </row>
    <row r="155" spans="1:13" ht="15" customHeight="1" x14ac:dyDescent="0.25">
      <c r="A155" t="str">
        <f>Table1[[#This Row],[District name]]&amp;" "&amp;Table1[[#This Row],[District number]]</f>
        <v>BURKEVILLE ISD 176901</v>
      </c>
      <c r="B155" t="s">
        <v>1086</v>
      </c>
      <c r="C155" s="1"/>
      <c r="D155" t="s">
        <v>1087</v>
      </c>
      <c r="E155" s="2" t="s">
        <v>706</v>
      </c>
      <c r="F155" s="137" t="s">
        <v>1088</v>
      </c>
      <c r="G155" s="137" t="s">
        <v>1089</v>
      </c>
      <c r="H155" s="137" t="s">
        <v>1090</v>
      </c>
      <c r="I155" s="113" t="s">
        <v>292</v>
      </c>
      <c r="J155" s="108" t="str">
        <f t="shared" si="2"/>
        <v>176901</v>
      </c>
    </row>
    <row r="156" spans="1:13" ht="15" customHeight="1" x14ac:dyDescent="0.25">
      <c r="A156" t="str">
        <f>Table1[[#This Row],[District name]]&amp;" "&amp;Table1[[#This Row],[District number]]</f>
        <v>BURLESON ISD 126902</v>
      </c>
      <c r="B156" t="s">
        <v>1091</v>
      </c>
      <c r="C156" s="1"/>
      <c r="D156" t="s">
        <v>1092</v>
      </c>
      <c r="E156" s="2" t="s">
        <v>402</v>
      </c>
      <c r="F156" s="137" t="s">
        <v>1093</v>
      </c>
      <c r="G156" s="137" t="s">
        <v>1094</v>
      </c>
      <c r="H156" s="137" t="s">
        <v>1095</v>
      </c>
      <c r="I156" s="113" t="s">
        <v>292</v>
      </c>
      <c r="J156" s="108" t="str">
        <f t="shared" si="2"/>
        <v>126902</v>
      </c>
    </row>
    <row r="157" spans="1:13" ht="15" customHeight="1" x14ac:dyDescent="0.25">
      <c r="A157" t="str">
        <f>Table1[[#This Row],[District name]]&amp;" "&amp;Table1[[#This Row],[District number]]</f>
        <v>BURNET CISD 027903</v>
      </c>
      <c r="B157" t="s">
        <v>1096</v>
      </c>
      <c r="C157" s="1"/>
      <c r="D157" t="s">
        <v>1097</v>
      </c>
      <c r="E157" s="2" t="s">
        <v>598</v>
      </c>
      <c r="F157" s="137" t="s">
        <v>1098</v>
      </c>
      <c r="G157" s="137" t="s">
        <v>1099</v>
      </c>
      <c r="H157" s="137" t="s">
        <v>1100</v>
      </c>
      <c r="I157" s="113" t="s">
        <v>292</v>
      </c>
      <c r="J157" s="108" t="str">
        <f t="shared" si="2"/>
        <v>027903</v>
      </c>
    </row>
    <row r="158" spans="1:13" ht="15" customHeight="1" x14ac:dyDescent="0.25">
      <c r="A158" t="str">
        <f>Table1[[#This Row],[District name]]&amp;" "&amp;Table1[[#This Row],[District number]]</f>
        <v>BURNHAM WOOD CHARTER SCHOOL DISTRICT 071801</v>
      </c>
      <c r="B158" t="s">
        <v>1101</v>
      </c>
      <c r="C158" s="1"/>
      <c r="D158" t="s">
        <v>1102</v>
      </c>
      <c r="E158" s="2" t="s">
        <v>507</v>
      </c>
      <c r="F158" s="137" t="s">
        <v>1103</v>
      </c>
      <c r="G158" s="137" t="s">
        <v>1104</v>
      </c>
      <c r="H158" s="137" t="s">
        <v>1105</v>
      </c>
      <c r="I158" s="113" t="s">
        <v>292</v>
      </c>
      <c r="J158" s="108" t="str">
        <f t="shared" si="2"/>
        <v>071801</v>
      </c>
    </row>
    <row r="159" spans="1:13" ht="15" customHeight="1" x14ac:dyDescent="0.25">
      <c r="A159" t="str">
        <f>Table1[[#This Row],[District name]]&amp;" "&amp;Table1[[#This Row],[District number]]</f>
        <v>BURTON ISD 239903</v>
      </c>
      <c r="B159" t="s">
        <v>1106</v>
      </c>
      <c r="C159" s="1"/>
      <c r="D159" t="s">
        <v>1107</v>
      </c>
      <c r="E159" s="2" t="s">
        <v>480</v>
      </c>
      <c r="F159" s="137" t="s">
        <v>1108</v>
      </c>
      <c r="G159" s="137" t="s">
        <v>1109</v>
      </c>
      <c r="H159" s="137" t="s">
        <v>1110</v>
      </c>
      <c r="I159" s="113" t="s">
        <v>292</v>
      </c>
      <c r="J159" s="108" t="str">
        <f t="shared" si="2"/>
        <v>239903</v>
      </c>
    </row>
    <row r="160" spans="1:13" ht="15" customHeight="1" x14ac:dyDescent="0.25">
      <c r="A160" t="str">
        <f>Table1[[#This Row],[District name]]&amp;" "&amp;Table1[[#This Row],[District number]]</f>
        <v>BUSHLAND ISD 188904</v>
      </c>
      <c r="B160" t="s">
        <v>1111</v>
      </c>
      <c r="C160" s="1"/>
      <c r="D160" t="s">
        <v>1112</v>
      </c>
      <c r="E160" s="2" t="s">
        <v>356</v>
      </c>
      <c r="F160" s="137" t="s">
        <v>1113</v>
      </c>
      <c r="G160" s="137" t="s">
        <v>1114</v>
      </c>
      <c r="H160" s="137" t="s">
        <v>1115</v>
      </c>
      <c r="I160" s="113" t="s">
        <v>292</v>
      </c>
      <c r="J160" s="108" t="str">
        <f t="shared" si="2"/>
        <v>188904</v>
      </c>
    </row>
    <row r="161" spans="1:10" ht="15" customHeight="1" x14ac:dyDescent="0.25">
      <c r="A161" t="str">
        <f>Table1[[#This Row],[District name]]&amp;" "&amp;Table1[[#This Row],[District number]]</f>
        <v>BYNUM ISD 109902</v>
      </c>
      <c r="B161" t="s">
        <v>1116</v>
      </c>
      <c r="C161" s="1"/>
      <c r="D161" t="s">
        <v>1117</v>
      </c>
      <c r="E161" s="2" t="s">
        <v>301</v>
      </c>
      <c r="F161" s="137" t="s">
        <v>1118</v>
      </c>
      <c r="G161" s="137" t="s">
        <v>1119</v>
      </c>
      <c r="H161" s="137" t="s">
        <v>1120</v>
      </c>
      <c r="I161" s="113" t="s">
        <v>292</v>
      </c>
      <c r="J161" s="108" t="str">
        <f t="shared" si="2"/>
        <v>109902</v>
      </c>
    </row>
    <row r="162" spans="1:10" ht="15" customHeight="1" x14ac:dyDescent="0.25">
      <c r="A162" t="str">
        <f>Table1[[#This Row],[District name]]&amp;" "&amp;Table1[[#This Row],[District number]]</f>
        <v>CADDO MILLS ISD 116901</v>
      </c>
      <c r="B162" t="s">
        <v>1121</v>
      </c>
      <c r="C162" s="1"/>
      <c r="D162" t="s">
        <v>1122</v>
      </c>
      <c r="E162" s="2" t="s">
        <v>288</v>
      </c>
      <c r="F162" s="137" t="s">
        <v>1123</v>
      </c>
      <c r="G162" s="137" t="s">
        <v>1124</v>
      </c>
      <c r="H162" s="137" t="s">
        <v>1125</v>
      </c>
      <c r="I162" s="113" t="s">
        <v>292</v>
      </c>
      <c r="J162" s="108" t="str">
        <f t="shared" si="2"/>
        <v>116901</v>
      </c>
    </row>
    <row r="163" spans="1:10" ht="15" customHeight="1" x14ac:dyDescent="0.25">
      <c r="A163" t="str">
        <f>Table1[[#This Row],[District name]]&amp;" "&amp;Table1[[#This Row],[District number]]</f>
        <v>CALALLEN ISD 178903</v>
      </c>
      <c r="B163" t="s">
        <v>1126</v>
      </c>
      <c r="C163" s="1"/>
      <c r="D163" t="s">
        <v>1127</v>
      </c>
      <c r="E163" s="2" t="s">
        <v>369</v>
      </c>
      <c r="F163" s="137" t="s">
        <v>1128</v>
      </c>
      <c r="G163" s="137" t="s">
        <v>1129</v>
      </c>
      <c r="H163" s="137" t="s">
        <v>1130</v>
      </c>
      <c r="I163" s="113" t="s">
        <v>292</v>
      </c>
      <c r="J163" s="108" t="str">
        <f t="shared" si="2"/>
        <v>178903</v>
      </c>
    </row>
    <row r="164" spans="1:10" ht="15" customHeight="1" x14ac:dyDescent="0.25">
      <c r="A164" t="str">
        <f>Table1[[#This Row],[District name]]&amp;" "&amp;Table1[[#This Row],[District number]]</f>
        <v>CALDWELL ISD 026901</v>
      </c>
      <c r="B164" t="s">
        <v>1131</v>
      </c>
      <c r="C164" s="1"/>
      <c r="D164" t="s">
        <v>1132</v>
      </c>
      <c r="E164" s="2" t="s">
        <v>480</v>
      </c>
      <c r="F164" s="137" t="s">
        <v>1133</v>
      </c>
      <c r="G164" s="137" t="s">
        <v>1134</v>
      </c>
      <c r="H164" s="137" t="s">
        <v>1135</v>
      </c>
      <c r="I164" s="113" t="s">
        <v>292</v>
      </c>
      <c r="J164" s="108" t="str">
        <f t="shared" si="2"/>
        <v>026901</v>
      </c>
    </row>
    <row r="165" spans="1:10" ht="15" customHeight="1" x14ac:dyDescent="0.25">
      <c r="A165" t="str">
        <f>Table1[[#This Row],[District name]]&amp;" "&amp;Table1[[#This Row],[District number]]</f>
        <v>CALHOUN COUNTY ISD 029901</v>
      </c>
      <c r="B165" t="s">
        <v>1136</v>
      </c>
      <c r="C165" s="1"/>
      <c r="D165" t="s">
        <v>1137</v>
      </c>
      <c r="E165" s="2" t="s">
        <v>614</v>
      </c>
      <c r="F165" s="137" t="s">
        <v>1138</v>
      </c>
      <c r="G165" s="137" t="s">
        <v>1139</v>
      </c>
      <c r="H165" s="137" t="s">
        <v>1140</v>
      </c>
      <c r="I165" s="113" t="s">
        <v>292</v>
      </c>
      <c r="J165" s="108" t="str">
        <f t="shared" si="2"/>
        <v>029901</v>
      </c>
    </row>
    <row r="166" spans="1:10" ht="15" customHeight="1" x14ac:dyDescent="0.25">
      <c r="A166" t="str">
        <f>Table1[[#This Row],[District name]]&amp;" "&amp;Table1[[#This Row],[District number]]</f>
        <v>CALLISBURG ISD 049905</v>
      </c>
      <c r="B166" t="s">
        <v>1141</v>
      </c>
      <c r="C166" s="1"/>
      <c r="D166" t="s">
        <v>1142</v>
      </c>
      <c r="E166" s="2" t="s">
        <v>402</v>
      </c>
      <c r="F166" s="137" t="s">
        <v>1143</v>
      </c>
      <c r="G166" s="137" t="s">
        <v>1144</v>
      </c>
      <c r="H166" s="137" t="s">
        <v>1145</v>
      </c>
      <c r="I166" s="113" t="s">
        <v>292</v>
      </c>
      <c r="J166" s="108" t="str">
        <f t="shared" si="2"/>
        <v>049905</v>
      </c>
    </row>
    <row r="167" spans="1:10" ht="15" customHeight="1" x14ac:dyDescent="0.25">
      <c r="A167" t="str">
        <f>Table1[[#This Row],[District name]]&amp;" "&amp;Table1[[#This Row],[District number]]</f>
        <v>CALVERT ISD 198902</v>
      </c>
      <c r="B167" t="s">
        <v>1146</v>
      </c>
      <c r="C167" s="1"/>
      <c r="D167" t="s">
        <v>1147</v>
      </c>
      <c r="E167" s="2" t="s">
        <v>480</v>
      </c>
      <c r="F167" s="137" t="s">
        <v>1148</v>
      </c>
      <c r="G167" s="137" t="s">
        <v>1149</v>
      </c>
      <c r="H167" s="137" t="s">
        <v>1150</v>
      </c>
      <c r="I167" s="113" t="s">
        <v>292</v>
      </c>
      <c r="J167" s="108" t="str">
        <f t="shared" si="2"/>
        <v>198902</v>
      </c>
    </row>
    <row r="168" spans="1:10" ht="15" customHeight="1" x14ac:dyDescent="0.25">
      <c r="A168" t="str">
        <f>Table1[[#This Row],[District name]]&amp;" "&amp;Table1[[#This Row],[District number]]</f>
        <v>CALVIN NELMS CHARTER SCHOOLS 101837</v>
      </c>
      <c r="B168" t="s">
        <v>1151</v>
      </c>
      <c r="C168" s="1"/>
      <c r="D168" t="s">
        <v>1152</v>
      </c>
      <c r="E168" s="2" t="s">
        <v>295</v>
      </c>
      <c r="F168" s="137" t="s">
        <v>1153</v>
      </c>
      <c r="G168" s="137" t="s">
        <v>1154</v>
      </c>
      <c r="H168" s="137" t="s">
        <v>1155</v>
      </c>
      <c r="I168" s="113" t="s">
        <v>292</v>
      </c>
      <c r="J168" s="108" t="str">
        <f t="shared" si="2"/>
        <v>101837</v>
      </c>
    </row>
    <row r="169" spans="1:10" ht="15" customHeight="1" x14ac:dyDescent="0.25">
      <c r="A169" t="str">
        <f>Table1[[#This Row],[District name]]&amp;" "&amp;Table1[[#This Row],[District number]]</f>
        <v>CAMERON ISD 166901</v>
      </c>
      <c r="B169" t="s">
        <v>1156</v>
      </c>
      <c r="C169" s="1"/>
      <c r="D169" t="s">
        <v>1157</v>
      </c>
      <c r="E169" s="2" t="s">
        <v>480</v>
      </c>
      <c r="F169" s="137" t="s">
        <v>1158</v>
      </c>
      <c r="G169" s="137" t="s">
        <v>1159</v>
      </c>
      <c r="H169" s="137" t="s">
        <v>1160</v>
      </c>
      <c r="I169" s="113" t="s">
        <v>292</v>
      </c>
      <c r="J169" s="108" t="str">
        <f t="shared" si="2"/>
        <v>166901</v>
      </c>
    </row>
    <row r="170" spans="1:10" ht="15" customHeight="1" x14ac:dyDescent="0.25">
      <c r="A170" t="str">
        <f>Table1[[#This Row],[District name]]&amp;" "&amp;Table1[[#This Row],[District number]]</f>
        <v>CAMPBELL ISD 116910</v>
      </c>
      <c r="B170" t="s">
        <v>1161</v>
      </c>
      <c r="C170" s="1"/>
      <c r="D170" t="s">
        <v>1162</v>
      </c>
      <c r="E170" s="2" t="s">
        <v>288</v>
      </c>
      <c r="F170" s="137" t="s">
        <v>1163</v>
      </c>
      <c r="G170" s="137" t="s">
        <v>1164</v>
      </c>
      <c r="H170" s="137" t="s">
        <v>1165</v>
      </c>
      <c r="I170" s="113" t="s">
        <v>292</v>
      </c>
      <c r="J170" s="108" t="str">
        <f t="shared" si="2"/>
        <v>116910</v>
      </c>
    </row>
    <row r="171" spans="1:10" ht="15" customHeight="1" x14ac:dyDescent="0.25">
      <c r="A171" t="str">
        <f>Table1[[#This Row],[District name]]&amp;" "&amp;Table1[[#This Row],[District number]]</f>
        <v>CANADIAN ISD 106901</v>
      </c>
      <c r="B171" t="s">
        <v>1166</v>
      </c>
      <c r="C171" s="1"/>
      <c r="D171" t="s">
        <v>1167</v>
      </c>
      <c r="E171" s="2" t="s">
        <v>356</v>
      </c>
      <c r="F171" s="137" t="s">
        <v>1168</v>
      </c>
      <c r="G171" s="137" t="s">
        <v>1169</v>
      </c>
      <c r="H171" s="137" t="s">
        <v>1170</v>
      </c>
      <c r="I171" s="113" t="s">
        <v>292</v>
      </c>
      <c r="J171" s="108" t="str">
        <f t="shared" si="2"/>
        <v>106901</v>
      </c>
    </row>
    <row r="172" spans="1:10" ht="15" customHeight="1" x14ac:dyDescent="0.25">
      <c r="A172" t="str">
        <f>Table1[[#This Row],[District name]]&amp;" "&amp;Table1[[#This Row],[District number]]</f>
        <v>CANTON ISD 234902</v>
      </c>
      <c r="B172" t="s">
        <v>1171</v>
      </c>
      <c r="C172" s="1"/>
      <c r="D172" t="s">
        <v>1172</v>
      </c>
      <c r="E172" s="2" t="s">
        <v>383</v>
      </c>
      <c r="F172" s="137" t="s">
        <v>1173</v>
      </c>
      <c r="G172" s="137" t="s">
        <v>1174</v>
      </c>
      <c r="H172" s="137" t="s">
        <v>1175</v>
      </c>
      <c r="I172" s="113" t="s">
        <v>292</v>
      </c>
      <c r="J172" s="108" t="str">
        <f t="shared" si="2"/>
        <v>234902</v>
      </c>
    </row>
    <row r="173" spans="1:10" ht="15" customHeight="1" x14ac:dyDescent="0.25">
      <c r="A173" t="str">
        <f>Table1[[#This Row],[District name]]&amp;" "&amp;Table1[[#This Row],[District number]]</f>
        <v>CANUTILLO ISD 071907</v>
      </c>
      <c r="B173" t="s">
        <v>1176</v>
      </c>
      <c r="C173" s="1"/>
      <c r="D173" t="s">
        <v>1177</v>
      </c>
      <c r="E173" s="2" t="s">
        <v>507</v>
      </c>
      <c r="F173" s="137" t="s">
        <v>1178</v>
      </c>
      <c r="G173" s="137" t="s">
        <v>1179</v>
      </c>
      <c r="H173" s="137" t="s">
        <v>1180</v>
      </c>
      <c r="I173" s="113" t="s">
        <v>292</v>
      </c>
      <c r="J173" s="108" t="str">
        <f t="shared" si="2"/>
        <v>071907</v>
      </c>
    </row>
    <row r="174" spans="1:10" ht="15" customHeight="1" x14ac:dyDescent="0.25">
      <c r="A174" t="str">
        <f>Table1[[#This Row],[District name]]&amp;" "&amp;Table1[[#This Row],[District number]]</f>
        <v>CANYON ISD 191901</v>
      </c>
      <c r="B174" t="s">
        <v>1181</v>
      </c>
      <c r="C174" s="1"/>
      <c r="D174" t="s">
        <v>1182</v>
      </c>
      <c r="E174" s="2" t="s">
        <v>356</v>
      </c>
      <c r="F174" s="137" t="s">
        <v>1183</v>
      </c>
      <c r="G174" s="137" t="s">
        <v>1184</v>
      </c>
      <c r="H174" s="137" t="s">
        <v>1185</v>
      </c>
      <c r="I174" s="113" t="s">
        <v>292</v>
      </c>
      <c r="J174" s="108" t="str">
        <f t="shared" si="2"/>
        <v>191901</v>
      </c>
    </row>
    <row r="175" spans="1:10" ht="15" customHeight="1" x14ac:dyDescent="0.25">
      <c r="A175" t="str">
        <f>Table1[[#This Row],[District name]]&amp;" "&amp;Table1[[#This Row],[District number]]</f>
        <v>CARLISLE ISD 201913</v>
      </c>
      <c r="B175" t="s">
        <v>1186</v>
      </c>
      <c r="C175" s="1"/>
      <c r="D175" t="s">
        <v>1187</v>
      </c>
      <c r="E175" s="2" t="s">
        <v>383</v>
      </c>
      <c r="F175" s="137" t="s">
        <v>1188</v>
      </c>
      <c r="G175" s="137" t="s">
        <v>1189</v>
      </c>
      <c r="H175" s="137" t="s">
        <v>1190</v>
      </c>
      <c r="I175" s="113" t="s">
        <v>292</v>
      </c>
      <c r="J175" s="108" t="str">
        <f t="shared" si="2"/>
        <v>201913</v>
      </c>
    </row>
    <row r="176" spans="1:10" ht="15" customHeight="1" x14ac:dyDescent="0.25">
      <c r="A176" t="str">
        <f>Table1[[#This Row],[District name]]&amp;" "&amp;Table1[[#This Row],[District number]]</f>
        <v>CARRIZO SPRINGS CISD 064903</v>
      </c>
      <c r="B176" t="s">
        <v>1191</v>
      </c>
      <c r="C176" s="1"/>
      <c r="D176" t="s">
        <v>1192</v>
      </c>
      <c r="E176" s="2" t="s">
        <v>376</v>
      </c>
      <c r="F176" s="137" t="s">
        <v>1193</v>
      </c>
      <c r="G176" s="137" t="s">
        <v>1194</v>
      </c>
      <c r="H176" s="137" t="s">
        <v>1195</v>
      </c>
      <c r="I176" s="113" t="s">
        <v>292</v>
      </c>
      <c r="J176" s="108" t="str">
        <f t="shared" si="2"/>
        <v>064903</v>
      </c>
    </row>
    <row r="177" spans="1:10" ht="15" customHeight="1" x14ac:dyDescent="0.25">
      <c r="A177" t="str">
        <f>Table1[[#This Row],[District name]]&amp;" "&amp;Table1[[#This Row],[District number]]</f>
        <v>CARROLL ISD 220919</v>
      </c>
      <c r="B177" t="s">
        <v>1196</v>
      </c>
      <c r="C177" s="1"/>
      <c r="D177" t="s">
        <v>1197</v>
      </c>
      <c r="E177" s="2" t="s">
        <v>402</v>
      </c>
      <c r="F177" s="137" t="s">
        <v>1198</v>
      </c>
      <c r="G177" s="137" t="s">
        <v>1199</v>
      </c>
      <c r="H177" s="137" t="s">
        <v>1200</v>
      </c>
      <c r="I177" s="113" t="s">
        <v>292</v>
      </c>
      <c r="J177" s="108" t="str">
        <f t="shared" si="2"/>
        <v>220919</v>
      </c>
    </row>
    <row r="178" spans="1:10" ht="15" customHeight="1" x14ac:dyDescent="0.25">
      <c r="A178" t="str">
        <f>Table1[[#This Row],[District name]]&amp;" "&amp;Table1[[#This Row],[District number]]</f>
        <v>CARROLLTON-FARMERS BRANCH ISD 057903</v>
      </c>
      <c r="B178" t="s">
        <v>1201</v>
      </c>
      <c r="C178" s="1"/>
      <c r="D178" t="s">
        <v>1202</v>
      </c>
      <c r="E178" s="2" t="s">
        <v>288</v>
      </c>
      <c r="F178" s="137" t="s">
        <v>1203</v>
      </c>
      <c r="G178" s="137" t="s">
        <v>1204</v>
      </c>
      <c r="H178" s="137" t="s">
        <v>1205</v>
      </c>
      <c r="I178" s="113" t="s">
        <v>292</v>
      </c>
      <c r="J178" s="108" t="str">
        <f t="shared" si="2"/>
        <v>057903</v>
      </c>
    </row>
    <row r="179" spans="1:10" ht="15" customHeight="1" x14ac:dyDescent="0.25">
      <c r="A179" t="str">
        <f>Table1[[#This Row],[District name]]&amp;" "&amp;Table1[[#This Row],[District number]]</f>
        <v>CARTHAGE ISD 183902</v>
      </c>
      <c r="B179" t="s">
        <v>1206</v>
      </c>
      <c r="C179" s="1"/>
      <c r="D179" t="s">
        <v>1207</v>
      </c>
      <c r="E179" s="2" t="s">
        <v>383</v>
      </c>
      <c r="F179" s="137" t="s">
        <v>1208</v>
      </c>
      <c r="G179" s="137" t="s">
        <v>1209</v>
      </c>
      <c r="H179" s="137" t="s">
        <v>1210</v>
      </c>
      <c r="I179" s="113" t="s">
        <v>292</v>
      </c>
      <c r="J179" s="108" t="str">
        <f t="shared" si="2"/>
        <v>183902</v>
      </c>
    </row>
    <row r="180" spans="1:10" ht="15" customHeight="1" x14ac:dyDescent="0.25">
      <c r="A180" t="str">
        <f>Table1[[#This Row],[District name]]&amp;" "&amp;Table1[[#This Row],[District number]]</f>
        <v>CASTLEBERRY ISD 220917</v>
      </c>
      <c r="B180" t="s">
        <v>1211</v>
      </c>
      <c r="C180" s="1"/>
      <c r="D180" t="s">
        <v>1212</v>
      </c>
      <c r="E180" s="2" t="s">
        <v>402</v>
      </c>
      <c r="F180" s="137" t="s">
        <v>1213</v>
      </c>
      <c r="G180" s="137" t="s">
        <v>1214</v>
      </c>
      <c r="H180" s="137" t="s">
        <v>1215</v>
      </c>
      <c r="I180" s="113" t="s">
        <v>292</v>
      </c>
      <c r="J180" s="108" t="str">
        <f t="shared" si="2"/>
        <v>220917</v>
      </c>
    </row>
    <row r="181" spans="1:10" ht="15" customHeight="1" x14ac:dyDescent="0.25">
      <c r="A181" t="str">
        <f>Table1[[#This Row],[District name]]&amp;" "&amp;Table1[[#This Row],[District number]]</f>
        <v>CAYUGA ISD 001902</v>
      </c>
      <c r="B181" t="s">
        <v>1216</v>
      </c>
      <c r="C181" s="1"/>
      <c r="D181" t="s">
        <v>1217</v>
      </c>
      <c r="E181" s="2" t="s">
        <v>383</v>
      </c>
      <c r="F181" s="137" t="s">
        <v>1218</v>
      </c>
      <c r="G181" s="137" t="s">
        <v>1219</v>
      </c>
      <c r="H181" s="137" t="s">
        <v>1220</v>
      </c>
      <c r="I181" s="113" t="s">
        <v>292</v>
      </c>
      <c r="J181" s="108" t="str">
        <f t="shared" si="2"/>
        <v>001902</v>
      </c>
    </row>
    <row r="182" spans="1:10" ht="15" customHeight="1" x14ac:dyDescent="0.25">
      <c r="A182" t="str">
        <f>Table1[[#This Row],[District name]]&amp;" "&amp;Table1[[#This Row],[District number]]</f>
        <v>CEDAR HILL ISD 057904</v>
      </c>
      <c r="B182" t="s">
        <v>1221</v>
      </c>
      <c r="C182" s="1"/>
      <c r="D182" t="s">
        <v>1222</v>
      </c>
      <c r="E182" s="2" t="s">
        <v>288</v>
      </c>
      <c r="F182" s="137" t="s">
        <v>1223</v>
      </c>
      <c r="G182" s="137" t="s">
        <v>1224</v>
      </c>
      <c r="H182" s="137" t="s">
        <v>1225</v>
      </c>
      <c r="I182" s="113" t="s">
        <v>292</v>
      </c>
      <c r="J182" s="108" t="str">
        <f t="shared" si="2"/>
        <v>057904</v>
      </c>
    </row>
    <row r="183" spans="1:10" ht="15" customHeight="1" x14ac:dyDescent="0.25">
      <c r="A183" t="str">
        <f>Table1[[#This Row],[District name]]&amp;" "&amp;Table1[[#This Row],[District number]]</f>
        <v>CEDARS INTERNATIONAL ACADEMY 227817</v>
      </c>
      <c r="B183" t="s">
        <v>1226</v>
      </c>
      <c r="C183" s="1"/>
      <c r="D183" t="s">
        <v>1227</v>
      </c>
      <c r="E183" s="2" t="s">
        <v>598</v>
      </c>
      <c r="F183" s="137" t="s">
        <v>1228</v>
      </c>
      <c r="G183" s="137" t="s">
        <v>1229</v>
      </c>
      <c r="H183" s="137" t="s">
        <v>1230</v>
      </c>
      <c r="I183" s="113" t="s">
        <v>292</v>
      </c>
      <c r="J183" s="108" t="str">
        <f t="shared" si="2"/>
        <v>227817</v>
      </c>
    </row>
    <row r="184" spans="1:10" ht="15" customHeight="1" x14ac:dyDescent="0.25">
      <c r="A184" t="str">
        <f>Table1[[#This Row],[District name]]&amp;" "&amp;Table1[[#This Row],[District number]]</f>
        <v>CELESTE ISD 116902</v>
      </c>
      <c r="B184" t="s">
        <v>1231</v>
      </c>
      <c r="C184" s="1"/>
      <c r="D184" t="s">
        <v>1232</v>
      </c>
      <c r="E184" s="2" t="s">
        <v>288</v>
      </c>
      <c r="F184" s="137" t="s">
        <v>1233</v>
      </c>
      <c r="G184" s="137" t="s">
        <v>1234</v>
      </c>
      <c r="H184" s="137" t="s">
        <v>1235</v>
      </c>
      <c r="I184" s="113" t="s">
        <v>292</v>
      </c>
      <c r="J184" s="108" t="str">
        <f t="shared" si="2"/>
        <v>116902</v>
      </c>
    </row>
    <row r="185" spans="1:10" ht="15" customHeight="1" x14ac:dyDescent="0.25">
      <c r="A185" t="str">
        <f>Table1[[#This Row],[District name]]&amp;" "&amp;Table1[[#This Row],[District number]]</f>
        <v>CELINA ISD 043903</v>
      </c>
      <c r="B185" t="s">
        <v>1236</v>
      </c>
      <c r="C185" s="1"/>
      <c r="D185" t="s">
        <v>1237</v>
      </c>
      <c r="E185" s="2" t="s">
        <v>288</v>
      </c>
      <c r="F185" s="137" t="s">
        <v>1238</v>
      </c>
      <c r="G185" s="137" t="s">
        <v>1239</v>
      </c>
      <c r="H185" s="137" t="s">
        <v>1240</v>
      </c>
      <c r="I185" s="113" t="s">
        <v>292</v>
      </c>
      <c r="J185" s="108" t="str">
        <f t="shared" si="2"/>
        <v>043903</v>
      </c>
    </row>
    <row r="186" spans="1:10" ht="15" customHeight="1" x14ac:dyDescent="0.25">
      <c r="A186" t="str">
        <f>Table1[[#This Row],[District name]]&amp;" "&amp;Table1[[#This Row],[District number]]</f>
        <v>CENTER ISD 210901</v>
      </c>
      <c r="B186" t="s">
        <v>1241</v>
      </c>
      <c r="C186" s="1"/>
      <c r="D186" t="s">
        <v>1242</v>
      </c>
      <c r="E186" s="2" t="s">
        <v>383</v>
      </c>
      <c r="F186" s="137" t="s">
        <v>1243</v>
      </c>
      <c r="G186" s="137" t="s">
        <v>1244</v>
      </c>
      <c r="H186" s="137" t="s">
        <v>1245</v>
      </c>
      <c r="I186" s="113" t="s">
        <v>292</v>
      </c>
      <c r="J186" s="108" t="str">
        <f t="shared" si="2"/>
        <v>210901</v>
      </c>
    </row>
    <row r="187" spans="1:10" ht="15" customHeight="1" x14ac:dyDescent="0.25">
      <c r="A187" t="str">
        <f>Table1[[#This Row],[District name]]&amp;" "&amp;Table1[[#This Row],[District number]]</f>
        <v>CENTER POINT ISD 133901</v>
      </c>
      <c r="B187" t="s">
        <v>1246</v>
      </c>
      <c r="C187" s="1"/>
      <c r="D187" t="s">
        <v>1247</v>
      </c>
      <c r="E187" s="2" t="s">
        <v>376</v>
      </c>
      <c r="F187" s="137" t="s">
        <v>1248</v>
      </c>
      <c r="G187" s="137" t="s">
        <v>1249</v>
      </c>
      <c r="H187" s="137" t="s">
        <v>1250</v>
      </c>
      <c r="I187" s="113" t="s">
        <v>292</v>
      </c>
      <c r="J187" s="108" t="str">
        <f t="shared" si="2"/>
        <v>133901</v>
      </c>
    </row>
    <row r="188" spans="1:10" ht="15" customHeight="1" x14ac:dyDescent="0.25">
      <c r="A188" t="str">
        <f>Table1[[#This Row],[District name]]&amp;" "&amp;Table1[[#This Row],[District number]]</f>
        <v>CENTERVILLE ISD 145902</v>
      </c>
      <c r="B188" t="s">
        <v>1251</v>
      </c>
      <c r="C188" s="1"/>
      <c r="D188" t="s">
        <v>1252</v>
      </c>
      <c r="E188" s="2" t="s">
        <v>480</v>
      </c>
      <c r="F188" s="137" t="s">
        <v>1253</v>
      </c>
      <c r="G188" s="137" t="s">
        <v>1254</v>
      </c>
      <c r="H188" s="137" t="s">
        <v>1255</v>
      </c>
      <c r="I188" s="113" t="s">
        <v>292</v>
      </c>
      <c r="J188" s="108" t="str">
        <f t="shared" si="2"/>
        <v>145902</v>
      </c>
    </row>
    <row r="189" spans="1:10" ht="15" customHeight="1" x14ac:dyDescent="0.25">
      <c r="A189" t="str">
        <f>Table1[[#This Row],[District name]]&amp;" "&amp;Table1[[#This Row],[District number]]</f>
        <v>CENTERVILLE ISD 228904</v>
      </c>
      <c r="B189" t="s">
        <v>1256</v>
      </c>
      <c r="C189" s="1"/>
      <c r="D189" t="s">
        <v>1252</v>
      </c>
      <c r="E189" s="2" t="s">
        <v>480</v>
      </c>
      <c r="F189" s="137" t="s">
        <v>1257</v>
      </c>
      <c r="G189" s="137" t="s">
        <v>1258</v>
      </c>
      <c r="H189" s="137" t="s">
        <v>1259</v>
      </c>
      <c r="I189" s="113" t="s">
        <v>292</v>
      </c>
      <c r="J189" s="108" t="str">
        <f t="shared" si="2"/>
        <v>228904</v>
      </c>
    </row>
    <row r="190" spans="1:10" ht="15" customHeight="1" x14ac:dyDescent="0.25">
      <c r="A190" t="str">
        <f>Table1[[#This Row],[District name]]&amp;" "&amp;Table1[[#This Row],[District number]]</f>
        <v>CENTRAL HEIGHTS ISD 174908</v>
      </c>
      <c r="B190" t="s">
        <v>1260</v>
      </c>
      <c r="C190" s="1"/>
      <c r="D190" t="s">
        <v>1261</v>
      </c>
      <c r="E190" s="2" t="s">
        <v>383</v>
      </c>
      <c r="F190" s="137" t="s">
        <v>1262</v>
      </c>
      <c r="G190" s="137" t="s">
        <v>1263</v>
      </c>
      <c r="H190" s="137" t="s">
        <v>1264</v>
      </c>
      <c r="I190" s="113" t="s">
        <v>292</v>
      </c>
      <c r="J190" s="108" t="str">
        <f t="shared" si="2"/>
        <v>174908</v>
      </c>
    </row>
    <row r="191" spans="1:10" ht="15" customHeight="1" x14ac:dyDescent="0.25">
      <c r="A191" t="str">
        <f>Table1[[#This Row],[District name]]&amp;" "&amp;Table1[[#This Row],[District number]]</f>
        <v>CENTRAL ISD 003907</v>
      </c>
      <c r="B191" t="s">
        <v>1265</v>
      </c>
      <c r="C191" s="1"/>
      <c r="D191" t="s">
        <v>1266</v>
      </c>
      <c r="E191" s="2" t="s">
        <v>383</v>
      </c>
      <c r="F191" s="137" t="s">
        <v>1267</v>
      </c>
      <c r="G191" s="137" t="s">
        <v>1268</v>
      </c>
      <c r="H191" s="137" t="s">
        <v>1269</v>
      </c>
      <c r="I191" s="113" t="s">
        <v>292</v>
      </c>
      <c r="J191" s="108" t="str">
        <f t="shared" si="2"/>
        <v>003907</v>
      </c>
    </row>
    <row r="192" spans="1:10" ht="15" customHeight="1" x14ac:dyDescent="0.25">
      <c r="A192" t="str">
        <f>Table1[[#This Row],[District name]]&amp;" "&amp;Table1[[#This Row],[District number]]</f>
        <v>CHANNELVIEW ISD 101905</v>
      </c>
      <c r="B192" t="s">
        <v>1270</v>
      </c>
      <c r="C192" s="1"/>
      <c r="D192" t="s">
        <v>1271</v>
      </c>
      <c r="E192" s="2" t="s">
        <v>295</v>
      </c>
      <c r="F192" s="137" t="s">
        <v>1272</v>
      </c>
      <c r="G192" s="137" t="s">
        <v>1273</v>
      </c>
      <c r="H192" s="137" t="s">
        <v>1274</v>
      </c>
      <c r="I192" s="113" t="s">
        <v>292</v>
      </c>
      <c r="J192" s="108" t="str">
        <f t="shared" si="2"/>
        <v>101905</v>
      </c>
    </row>
    <row r="193" spans="1:10" ht="15" customHeight="1" x14ac:dyDescent="0.25">
      <c r="A193" t="str">
        <f>Table1[[#This Row],[District name]]&amp;" "&amp;Table1[[#This Row],[District number]]</f>
        <v>CHANNING ISD 103901</v>
      </c>
      <c r="B193" t="s">
        <v>1275</v>
      </c>
      <c r="C193" s="1"/>
      <c r="D193" t="s">
        <v>1276</v>
      </c>
      <c r="E193" s="2" t="s">
        <v>356</v>
      </c>
      <c r="F193" s="137" t="s">
        <v>1277</v>
      </c>
      <c r="G193" s="137" t="s">
        <v>1278</v>
      </c>
      <c r="H193" s="137" t="s">
        <v>1279</v>
      </c>
      <c r="I193" s="113" t="s">
        <v>292</v>
      </c>
      <c r="J193" s="108" t="str">
        <f t="shared" si="2"/>
        <v>103901</v>
      </c>
    </row>
    <row r="194" spans="1:10" ht="15" customHeight="1" x14ac:dyDescent="0.25">
      <c r="A194" t="str">
        <f>Table1[[#This Row],[District name]]&amp;" "&amp;Table1[[#This Row],[District number]]</f>
        <v>CHAPARRAL STAR ACADEMY 227814</v>
      </c>
      <c r="B194" t="s">
        <v>1280</v>
      </c>
      <c r="C194" s="1"/>
      <c r="D194" t="s">
        <v>1281</v>
      </c>
      <c r="E194" s="2" t="s">
        <v>598</v>
      </c>
      <c r="F194" s="137" t="s">
        <v>1282</v>
      </c>
      <c r="G194" s="137" t="s">
        <v>1283</v>
      </c>
      <c r="H194" s="137" t="s">
        <v>1284</v>
      </c>
      <c r="I194" s="113" t="s">
        <v>292</v>
      </c>
      <c r="J194" s="108" t="str">
        <f t="shared" si="2"/>
        <v>227814</v>
      </c>
    </row>
    <row r="195" spans="1:10" ht="15" customHeight="1" x14ac:dyDescent="0.25">
      <c r="A195" t="str">
        <f>Table1[[#This Row],[District name]]&amp;" "&amp;Table1[[#This Row],[District number]]</f>
        <v>CHAPEL HILL ISD 212909</v>
      </c>
      <c r="B195" t="s">
        <v>1285</v>
      </c>
      <c r="C195" s="1"/>
      <c r="D195" t="s">
        <v>1286</v>
      </c>
      <c r="E195" s="2" t="s">
        <v>383</v>
      </c>
      <c r="F195" s="137" t="s">
        <v>1287</v>
      </c>
      <c r="G195" s="137" t="s">
        <v>1288</v>
      </c>
      <c r="H195" s="137" t="s">
        <v>1289</v>
      </c>
      <c r="I195" s="113" t="s">
        <v>292</v>
      </c>
      <c r="J195" s="108" t="str">
        <f t="shared" ref="J195:J258" si="3">LEFT(B195,6)</f>
        <v>212909</v>
      </c>
    </row>
    <row r="196" spans="1:10" ht="15" customHeight="1" x14ac:dyDescent="0.25">
      <c r="A196" t="str">
        <f>Table1[[#This Row],[District name]]&amp;" "&amp;Table1[[#This Row],[District number]]</f>
        <v>CHAPEL HILL ISD 225906</v>
      </c>
      <c r="B196" t="s">
        <v>1290</v>
      </c>
      <c r="C196" s="1"/>
      <c r="D196" t="s">
        <v>1286</v>
      </c>
      <c r="E196" s="2" t="s">
        <v>587</v>
      </c>
      <c r="F196" s="137" t="s">
        <v>1291</v>
      </c>
      <c r="G196" s="137" t="s">
        <v>1292</v>
      </c>
      <c r="H196" s="137" t="s">
        <v>1293</v>
      </c>
      <c r="I196" s="113" t="s">
        <v>292</v>
      </c>
      <c r="J196" s="108" t="str">
        <f t="shared" si="3"/>
        <v>225906</v>
      </c>
    </row>
    <row r="197" spans="1:10" ht="15" customHeight="1" x14ac:dyDescent="0.25">
      <c r="A197" t="str">
        <f>Table1[[#This Row],[District name]]&amp;" "&amp;Table1[[#This Row],[District number]]</f>
        <v>CHARLOTTE ISD 007901</v>
      </c>
      <c r="B197" t="s">
        <v>1294</v>
      </c>
      <c r="C197" s="1"/>
      <c r="D197" t="s">
        <v>1295</v>
      </c>
      <c r="E197" s="2" t="s">
        <v>376</v>
      </c>
      <c r="F197" s="137" t="s">
        <v>620</v>
      </c>
      <c r="G197" s="137" t="s">
        <v>1296</v>
      </c>
      <c r="H197" s="137" t="s">
        <v>1297</v>
      </c>
      <c r="I197" s="113" t="s">
        <v>292</v>
      </c>
      <c r="J197" s="108" t="str">
        <f t="shared" si="3"/>
        <v>007901</v>
      </c>
    </row>
    <row r="198" spans="1:10" ht="15" customHeight="1" x14ac:dyDescent="0.25">
      <c r="A198" t="str">
        <f>Table1[[#This Row],[District name]]&amp;" "&amp;Table1[[#This Row],[District number]]</f>
        <v>CHEROKEE ISD 206903</v>
      </c>
      <c r="B198" t="s">
        <v>1298</v>
      </c>
      <c r="C198" s="1"/>
      <c r="D198" t="s">
        <v>1299</v>
      </c>
      <c r="E198" s="2" t="s">
        <v>650</v>
      </c>
      <c r="F198" s="137" t="s">
        <v>1300</v>
      </c>
      <c r="G198" s="137" t="s">
        <v>1301</v>
      </c>
      <c r="H198" s="137" t="s">
        <v>1302</v>
      </c>
      <c r="I198" s="113" t="s">
        <v>292</v>
      </c>
      <c r="J198" s="108" t="str">
        <f t="shared" si="3"/>
        <v>206903</v>
      </c>
    </row>
    <row r="199" spans="1:10" ht="15" customHeight="1" x14ac:dyDescent="0.25">
      <c r="A199" t="str">
        <f>Table1[[#This Row],[District name]]&amp;" "&amp;Table1[[#This Row],[District number]]</f>
        <v>CHESTER ISD 229906</v>
      </c>
      <c r="B199" t="s">
        <v>1303</v>
      </c>
      <c r="C199" s="1"/>
      <c r="D199" t="s">
        <v>1304</v>
      </c>
      <c r="E199" s="2" t="s">
        <v>706</v>
      </c>
      <c r="F199" s="137" t="s">
        <v>1305</v>
      </c>
      <c r="G199" s="137" t="s">
        <v>1306</v>
      </c>
      <c r="H199" s="137" t="s">
        <v>1307</v>
      </c>
      <c r="I199" s="113" t="s">
        <v>292</v>
      </c>
      <c r="J199" s="108" t="str">
        <f t="shared" si="3"/>
        <v>229906</v>
      </c>
    </row>
    <row r="200" spans="1:10" ht="15" customHeight="1" x14ac:dyDescent="0.25">
      <c r="A200" t="str">
        <f>Table1[[#This Row],[District name]]&amp;" "&amp;Table1[[#This Row],[District number]]</f>
        <v>CHICO ISD 249904</v>
      </c>
      <c r="B200" t="s">
        <v>1308</v>
      </c>
      <c r="C200" s="1"/>
      <c r="D200" t="s">
        <v>1309</v>
      </c>
      <c r="E200" s="2" t="s">
        <v>402</v>
      </c>
      <c r="F200" s="137" t="s">
        <v>1305</v>
      </c>
      <c r="G200" s="137" t="s">
        <v>1310</v>
      </c>
      <c r="H200" s="137" t="s">
        <v>1311</v>
      </c>
      <c r="I200" s="113" t="s">
        <v>292</v>
      </c>
      <c r="J200" s="108" t="str">
        <f t="shared" si="3"/>
        <v>249904</v>
      </c>
    </row>
    <row r="201" spans="1:10" ht="15" customHeight="1" x14ac:dyDescent="0.25">
      <c r="A201" t="str">
        <f>Table1[[#This Row],[District name]]&amp;" "&amp;Table1[[#This Row],[District number]]</f>
        <v>CHILDRESS ISD 038901</v>
      </c>
      <c r="B201" t="s">
        <v>1312</v>
      </c>
      <c r="C201" s="1"/>
      <c r="D201" t="s">
        <v>1313</v>
      </c>
      <c r="E201" s="2" t="s">
        <v>356</v>
      </c>
      <c r="F201" s="137" t="s">
        <v>1314</v>
      </c>
      <c r="G201" s="137" t="s">
        <v>1315</v>
      </c>
      <c r="H201" s="137" t="s">
        <v>1316</v>
      </c>
      <c r="I201" s="113" t="s">
        <v>292</v>
      </c>
      <c r="J201" s="108" t="str">
        <f t="shared" si="3"/>
        <v>038901</v>
      </c>
    </row>
    <row r="202" spans="1:10" ht="15" customHeight="1" x14ac:dyDescent="0.25">
      <c r="A202" t="str">
        <f>Table1[[#This Row],[District name]]&amp;" "&amp;Table1[[#This Row],[District number]]</f>
        <v>CHILLICOTHE ISD 099902</v>
      </c>
      <c r="B202" t="s">
        <v>1317</v>
      </c>
      <c r="C202" s="1"/>
      <c r="D202" t="s">
        <v>1318</v>
      </c>
      <c r="E202" s="2" t="s">
        <v>541</v>
      </c>
      <c r="F202" s="137" t="s">
        <v>1319</v>
      </c>
      <c r="G202" s="137" t="s">
        <v>1320</v>
      </c>
      <c r="H202" s="137" t="s">
        <v>1321</v>
      </c>
      <c r="I202" s="113" t="s">
        <v>292</v>
      </c>
      <c r="J202" s="108" t="str">
        <f t="shared" si="3"/>
        <v>099902</v>
      </c>
    </row>
    <row r="203" spans="1:10" ht="15" customHeight="1" x14ac:dyDescent="0.25">
      <c r="A203" t="str">
        <f>Table1[[#This Row],[District name]]&amp;" "&amp;Table1[[#This Row],[District number]]</f>
        <v>CHILTON ISD 073901</v>
      </c>
      <c r="B203" t="s">
        <v>1322</v>
      </c>
      <c r="C203" s="1"/>
      <c r="D203" t="s">
        <v>1323</v>
      </c>
      <c r="E203" s="2" t="s">
        <v>301</v>
      </c>
      <c r="F203" s="137" t="s">
        <v>1324</v>
      </c>
      <c r="G203" s="137" t="s">
        <v>1325</v>
      </c>
      <c r="H203" s="137" t="s">
        <v>1326</v>
      </c>
      <c r="I203" s="113" t="s">
        <v>292</v>
      </c>
      <c r="J203" s="108" t="str">
        <f t="shared" si="3"/>
        <v>073901</v>
      </c>
    </row>
    <row r="204" spans="1:10" ht="15" customHeight="1" x14ac:dyDescent="0.25">
      <c r="A204" t="str">
        <f>Table1[[#This Row],[District name]]&amp;" "&amp;Table1[[#This Row],[District number]]</f>
        <v>CHINA SPRING ISD 161920</v>
      </c>
      <c r="B204" t="s">
        <v>1327</v>
      </c>
      <c r="C204" s="1"/>
      <c r="D204" t="s">
        <v>1328</v>
      </c>
      <c r="E204" s="2" t="s">
        <v>301</v>
      </c>
      <c r="F204" s="137" t="s">
        <v>1329</v>
      </c>
      <c r="G204" s="137" t="s">
        <v>1330</v>
      </c>
      <c r="H204" s="137" t="s">
        <v>1331</v>
      </c>
      <c r="I204" s="113" t="s">
        <v>292</v>
      </c>
      <c r="J204" s="108" t="str">
        <f t="shared" si="3"/>
        <v>161920</v>
      </c>
    </row>
    <row r="205" spans="1:10" ht="15" customHeight="1" x14ac:dyDescent="0.25">
      <c r="A205" t="str">
        <f>Table1[[#This Row],[District name]]&amp;" "&amp;Table1[[#This Row],[District number]]</f>
        <v>CHIRENO ISD 174901</v>
      </c>
      <c r="B205" t="s">
        <v>1332</v>
      </c>
      <c r="C205" s="1"/>
      <c r="D205" t="s">
        <v>1333</v>
      </c>
      <c r="E205" s="2" t="s">
        <v>383</v>
      </c>
      <c r="F205" s="137" t="s">
        <v>1334</v>
      </c>
      <c r="G205" s="137" t="s">
        <v>1335</v>
      </c>
      <c r="H205" s="137" t="s">
        <v>1336</v>
      </c>
      <c r="I205" s="113" t="s">
        <v>292</v>
      </c>
      <c r="J205" s="108" t="str">
        <f t="shared" si="3"/>
        <v>174901</v>
      </c>
    </row>
    <row r="206" spans="1:10" ht="15" customHeight="1" x14ac:dyDescent="0.25">
      <c r="A206" t="str">
        <f>Table1[[#This Row],[District name]]&amp;" "&amp;Table1[[#This Row],[District number]]</f>
        <v>CHISUM ISD 139905</v>
      </c>
      <c r="B206" t="s">
        <v>1337</v>
      </c>
      <c r="C206" s="1"/>
      <c r="D206" t="s">
        <v>1338</v>
      </c>
      <c r="E206" s="2" t="s">
        <v>587</v>
      </c>
      <c r="F206" s="137" t="s">
        <v>1339</v>
      </c>
      <c r="G206" s="137" t="s">
        <v>1340</v>
      </c>
      <c r="H206" s="137" t="s">
        <v>1341</v>
      </c>
      <c r="I206" s="113" t="s">
        <v>292</v>
      </c>
      <c r="J206" s="108" t="str">
        <f t="shared" si="3"/>
        <v>139905</v>
      </c>
    </row>
    <row r="207" spans="1:10" ht="15" customHeight="1" x14ac:dyDescent="0.25">
      <c r="A207" t="str">
        <f>Table1[[#This Row],[District name]]&amp;" "&amp;Table1[[#This Row],[District number]]</f>
        <v>CHRISTOVAL ISD 226901</v>
      </c>
      <c r="B207" t="s">
        <v>1342</v>
      </c>
      <c r="C207" s="1"/>
      <c r="D207" t="s">
        <v>1343</v>
      </c>
      <c r="E207" s="2" t="s">
        <v>650</v>
      </c>
      <c r="F207" s="137" t="s">
        <v>1344</v>
      </c>
      <c r="G207" s="137" t="s">
        <v>1345</v>
      </c>
      <c r="H207" s="137" t="s">
        <v>1346</v>
      </c>
      <c r="I207" s="113" t="s">
        <v>292</v>
      </c>
      <c r="J207" s="108" t="str">
        <f t="shared" si="3"/>
        <v>226901</v>
      </c>
    </row>
    <row r="208" spans="1:10" ht="15" customHeight="1" x14ac:dyDescent="0.25">
      <c r="A208" t="str">
        <f>Table1[[#This Row],[District name]]&amp;" "&amp;Table1[[#This Row],[District number]]</f>
        <v>CISCO ISD 067902</v>
      </c>
      <c r="B208" t="s">
        <v>1347</v>
      </c>
      <c r="C208" s="1"/>
      <c r="D208" t="s">
        <v>1348</v>
      </c>
      <c r="E208" s="2" t="s">
        <v>314</v>
      </c>
      <c r="F208" s="137" t="s">
        <v>1349</v>
      </c>
      <c r="G208" s="137" t="s">
        <v>1350</v>
      </c>
      <c r="H208" s="137" t="s">
        <v>1351</v>
      </c>
      <c r="I208" s="113" t="s">
        <v>292</v>
      </c>
      <c r="J208" s="108" t="str">
        <f t="shared" si="3"/>
        <v>067902</v>
      </c>
    </row>
    <row r="209" spans="1:10" ht="15" customHeight="1" x14ac:dyDescent="0.25">
      <c r="A209" t="str">
        <f>Table1[[#This Row],[District name]]&amp;" "&amp;Table1[[#This Row],[District number]]</f>
        <v>CITY VIEW ISD 243906</v>
      </c>
      <c r="B209" t="s">
        <v>1352</v>
      </c>
      <c r="C209" s="1"/>
      <c r="D209" t="s">
        <v>1353</v>
      </c>
      <c r="E209" s="2" t="s">
        <v>541</v>
      </c>
      <c r="F209" s="137" t="s">
        <v>1354</v>
      </c>
      <c r="G209" s="137" t="s">
        <v>1355</v>
      </c>
      <c r="H209" s="137" t="s">
        <v>1356</v>
      </c>
      <c r="I209" s="113" t="s">
        <v>292</v>
      </c>
      <c r="J209" s="108" t="str">
        <f t="shared" si="3"/>
        <v>243906</v>
      </c>
    </row>
    <row r="210" spans="1:10" ht="15" customHeight="1" x14ac:dyDescent="0.25">
      <c r="A210" t="str">
        <f>Table1[[#This Row],[District name]]&amp;" "&amp;Table1[[#This Row],[District number]]</f>
        <v>CITYSCAPE SCHOOLS 057841</v>
      </c>
      <c r="B210" t="s">
        <v>1357</v>
      </c>
      <c r="C210" s="1"/>
      <c r="D210" t="s">
        <v>1358</v>
      </c>
      <c r="E210" s="2" t="s">
        <v>288</v>
      </c>
      <c r="F210" s="137" t="s">
        <v>1359</v>
      </c>
      <c r="G210" s="137" t="s">
        <v>1360</v>
      </c>
      <c r="H210" s="137" t="s">
        <v>1361</v>
      </c>
      <c r="I210" s="113" t="s">
        <v>292</v>
      </c>
      <c r="J210" s="108" t="str">
        <f t="shared" si="3"/>
        <v>057841</v>
      </c>
    </row>
    <row r="211" spans="1:10" ht="15" customHeight="1" x14ac:dyDescent="0.25">
      <c r="A211" t="str">
        <f>Table1[[#This Row],[District name]]&amp;" "&amp;Table1[[#This Row],[District number]]</f>
        <v>CLARENDON ISD 065901</v>
      </c>
      <c r="B211" t="s">
        <v>1362</v>
      </c>
      <c r="C211" s="1"/>
      <c r="D211" t="s">
        <v>1363</v>
      </c>
      <c r="E211" s="2" t="s">
        <v>356</v>
      </c>
      <c r="F211" s="137" t="s">
        <v>1364</v>
      </c>
      <c r="G211" s="137" t="s">
        <v>1365</v>
      </c>
      <c r="H211" s="137" t="s">
        <v>1366</v>
      </c>
      <c r="I211" s="113" t="s">
        <v>292</v>
      </c>
      <c r="J211" s="108" t="str">
        <f t="shared" si="3"/>
        <v>065901</v>
      </c>
    </row>
    <row r="212" spans="1:10" ht="15" customHeight="1" x14ac:dyDescent="0.25">
      <c r="A212" t="str">
        <f>Table1[[#This Row],[District name]]&amp;" "&amp;Table1[[#This Row],[District number]]</f>
        <v>CLARKSVILLE ISD 194904</v>
      </c>
      <c r="B212" t="s">
        <v>1367</v>
      </c>
      <c r="C212" s="1"/>
      <c r="D212" t="s">
        <v>1368</v>
      </c>
      <c r="E212" s="2" t="s">
        <v>587</v>
      </c>
      <c r="F212" s="137" t="s">
        <v>1369</v>
      </c>
      <c r="G212" s="137" t="s">
        <v>1370</v>
      </c>
      <c r="H212" s="137" t="s">
        <v>1371</v>
      </c>
      <c r="I212" s="113" t="s">
        <v>292</v>
      </c>
      <c r="J212" s="108" t="str">
        <f t="shared" si="3"/>
        <v>194904</v>
      </c>
    </row>
    <row r="213" spans="1:10" ht="15" customHeight="1" x14ac:dyDescent="0.25">
      <c r="A213" t="str">
        <f>Table1[[#This Row],[District name]]&amp;" "&amp;Table1[[#This Row],[District number]]</f>
        <v>CLAUDE ISD 006902</v>
      </c>
      <c r="B213" t="s">
        <v>1372</v>
      </c>
      <c r="C213" s="1"/>
      <c r="D213" t="s">
        <v>1373</v>
      </c>
      <c r="E213" s="2" t="s">
        <v>356</v>
      </c>
      <c r="F213" s="137" t="s">
        <v>1374</v>
      </c>
      <c r="G213" s="137" t="s">
        <v>1375</v>
      </c>
      <c r="H213" s="137" t="s">
        <v>1376</v>
      </c>
      <c r="I213" s="113" t="s">
        <v>292</v>
      </c>
      <c r="J213" s="108" t="str">
        <f t="shared" si="3"/>
        <v>006902</v>
      </c>
    </row>
    <row r="214" spans="1:10" ht="15" customHeight="1" x14ac:dyDescent="0.25">
      <c r="A214" t="str">
        <f>Table1[[#This Row],[District name]]&amp;" "&amp;Table1[[#This Row],[District number]]</f>
        <v>CLEAR CREEK ISD 084910</v>
      </c>
      <c r="B214" t="s">
        <v>1377</v>
      </c>
      <c r="C214" s="1"/>
      <c r="D214" t="s">
        <v>1378</v>
      </c>
      <c r="E214" s="2" t="s">
        <v>295</v>
      </c>
      <c r="F214" s="137" t="s">
        <v>1379</v>
      </c>
      <c r="G214" s="137" t="s">
        <v>1380</v>
      </c>
      <c r="H214" s="137" t="s">
        <v>1381</v>
      </c>
      <c r="I214" s="113" t="s">
        <v>292</v>
      </c>
      <c r="J214" s="108" t="str">
        <f t="shared" si="3"/>
        <v>084910</v>
      </c>
    </row>
    <row r="215" spans="1:10" ht="15" customHeight="1" x14ac:dyDescent="0.25">
      <c r="A215" t="str">
        <f>Table1[[#This Row],[District name]]&amp;" "&amp;Table1[[#This Row],[District number]]</f>
        <v>CLEBURNE ISD 126903</v>
      </c>
      <c r="B215" t="s">
        <v>1382</v>
      </c>
      <c r="C215" s="1"/>
      <c r="D215" t="s">
        <v>1383</v>
      </c>
      <c r="E215" s="2" t="s">
        <v>402</v>
      </c>
      <c r="F215" s="137" t="s">
        <v>1384</v>
      </c>
      <c r="G215" s="137" t="s">
        <v>1385</v>
      </c>
      <c r="H215" s="137" t="s">
        <v>1386</v>
      </c>
      <c r="I215" s="113" t="s">
        <v>292</v>
      </c>
      <c r="J215" s="108" t="str">
        <f t="shared" si="3"/>
        <v>126903</v>
      </c>
    </row>
    <row r="216" spans="1:10" ht="15" customHeight="1" x14ac:dyDescent="0.25">
      <c r="A216" t="str">
        <f>Table1[[#This Row],[District name]]&amp;" "&amp;Table1[[#This Row],[District number]]</f>
        <v>CLEVELAND ISD 146901</v>
      </c>
      <c r="B216" t="s">
        <v>1387</v>
      </c>
      <c r="C216" s="1"/>
      <c r="D216" t="s">
        <v>1388</v>
      </c>
      <c r="E216" s="2" t="s">
        <v>295</v>
      </c>
      <c r="F216" s="137" t="s">
        <v>1389</v>
      </c>
      <c r="G216" s="137" t="s">
        <v>1390</v>
      </c>
      <c r="H216" s="137" t="s">
        <v>1391</v>
      </c>
      <c r="I216" s="113" t="s">
        <v>292</v>
      </c>
      <c r="J216" s="108" t="str">
        <f t="shared" si="3"/>
        <v>146901</v>
      </c>
    </row>
    <row r="217" spans="1:10" ht="15" customHeight="1" x14ac:dyDescent="0.25">
      <c r="A217" t="str">
        <f>Table1[[#This Row],[District name]]&amp;" "&amp;Table1[[#This Row],[District number]]</f>
        <v>CLIFTON ISD 018901</v>
      </c>
      <c r="B217" t="s">
        <v>1392</v>
      </c>
      <c r="C217" s="1"/>
      <c r="D217" t="s">
        <v>1393</v>
      </c>
      <c r="E217" s="2" t="s">
        <v>301</v>
      </c>
      <c r="F217" s="137" t="s">
        <v>1394</v>
      </c>
      <c r="G217" s="137" t="s">
        <v>1395</v>
      </c>
      <c r="H217" s="137" t="s">
        <v>1396</v>
      </c>
      <c r="I217" s="113" t="s">
        <v>292</v>
      </c>
      <c r="J217" s="108" t="str">
        <f t="shared" si="3"/>
        <v>018901</v>
      </c>
    </row>
    <row r="218" spans="1:10" ht="15" customHeight="1" x14ac:dyDescent="0.25">
      <c r="A218" t="str">
        <f>Table1[[#This Row],[District name]]&amp;" "&amp;Table1[[#This Row],[District number]]</f>
        <v>CLINT ISD 071901</v>
      </c>
      <c r="B218" t="s">
        <v>1397</v>
      </c>
      <c r="C218" s="1"/>
      <c r="D218" t="s">
        <v>1398</v>
      </c>
      <c r="E218" s="2" t="s">
        <v>507</v>
      </c>
      <c r="F218" s="137" t="s">
        <v>1399</v>
      </c>
      <c r="G218" s="137" t="s">
        <v>1400</v>
      </c>
      <c r="H218" s="137" t="s">
        <v>1401</v>
      </c>
      <c r="I218" s="113" t="s">
        <v>292</v>
      </c>
      <c r="J218" s="108" t="str">
        <f t="shared" si="3"/>
        <v>071901</v>
      </c>
    </row>
    <row r="219" spans="1:10" ht="15" customHeight="1" x14ac:dyDescent="0.25">
      <c r="A219" t="str">
        <f>Table1[[#This Row],[District name]]&amp;" "&amp;Table1[[#This Row],[District number]]</f>
        <v>CLYDE CISD 030902</v>
      </c>
      <c r="B219" t="s">
        <v>1402</v>
      </c>
      <c r="C219" s="1"/>
      <c r="D219" t="s">
        <v>1403</v>
      </c>
      <c r="E219" s="2" t="s">
        <v>314</v>
      </c>
      <c r="F219" s="137" t="s">
        <v>1404</v>
      </c>
      <c r="G219" s="137" t="s">
        <v>1405</v>
      </c>
      <c r="H219" s="137" t="s">
        <v>1406</v>
      </c>
      <c r="I219" s="113" t="s">
        <v>292</v>
      </c>
      <c r="J219" s="108" t="str">
        <f t="shared" si="3"/>
        <v>030902</v>
      </c>
    </row>
    <row r="220" spans="1:10" ht="15" customHeight="1" x14ac:dyDescent="0.25">
      <c r="A220" t="str">
        <f>Table1[[#This Row],[District name]]&amp;" "&amp;Table1[[#This Row],[District number]]</f>
        <v>COAHOMA ISD 114902</v>
      </c>
      <c r="B220" t="s">
        <v>1407</v>
      </c>
      <c r="C220" s="1"/>
      <c r="D220" t="s">
        <v>1408</v>
      </c>
      <c r="E220" s="2" t="s">
        <v>430</v>
      </c>
      <c r="F220" s="137" t="s">
        <v>1409</v>
      </c>
      <c r="G220" s="137" t="s">
        <v>1410</v>
      </c>
      <c r="H220" s="137" t="s">
        <v>1411</v>
      </c>
      <c r="I220" s="113" t="s">
        <v>292</v>
      </c>
      <c r="J220" s="108" t="str">
        <f t="shared" si="3"/>
        <v>114902</v>
      </c>
    </row>
    <row r="221" spans="1:10" ht="15" customHeight="1" x14ac:dyDescent="0.25">
      <c r="A221" t="str">
        <f>Table1[[#This Row],[District name]]&amp;" "&amp;Table1[[#This Row],[District number]]</f>
        <v>COLDSPRING-OAKHURST CISD 204901</v>
      </c>
      <c r="B221" t="s">
        <v>1412</v>
      </c>
      <c r="C221" s="1"/>
      <c r="D221" t="s">
        <v>1413</v>
      </c>
      <c r="E221" s="2" t="s">
        <v>480</v>
      </c>
      <c r="F221" s="137" t="s">
        <v>1414</v>
      </c>
      <c r="G221" s="137" t="s">
        <v>1415</v>
      </c>
      <c r="H221" s="137" t="s">
        <v>1416</v>
      </c>
      <c r="I221" s="113" t="s">
        <v>292</v>
      </c>
      <c r="J221" s="108" t="str">
        <f t="shared" si="3"/>
        <v>204901</v>
      </c>
    </row>
    <row r="222" spans="1:10" ht="15" customHeight="1" x14ac:dyDescent="0.25">
      <c r="A222" t="str">
        <f>Table1[[#This Row],[District name]]&amp;" "&amp;Table1[[#This Row],[District number]]</f>
        <v>COLEMAN ISD 042901</v>
      </c>
      <c r="B222" t="s">
        <v>1417</v>
      </c>
      <c r="C222" s="1"/>
      <c r="D222" t="s">
        <v>1418</v>
      </c>
      <c r="E222" s="2" t="s">
        <v>650</v>
      </c>
      <c r="F222" s="137" t="s">
        <v>1419</v>
      </c>
      <c r="G222" s="137" t="s">
        <v>1420</v>
      </c>
      <c r="H222" s="137" t="s">
        <v>1421</v>
      </c>
      <c r="I222" s="113" t="s">
        <v>292</v>
      </c>
      <c r="J222" s="108" t="str">
        <f t="shared" si="3"/>
        <v>042901</v>
      </c>
    </row>
    <row r="223" spans="1:10" ht="15" customHeight="1" x14ac:dyDescent="0.25">
      <c r="A223" t="str">
        <f>Table1[[#This Row],[District name]]&amp;" "&amp;Table1[[#This Row],[District number]]</f>
        <v>COLLEGE STATION ISD 021901</v>
      </c>
      <c r="B223" t="s">
        <v>1422</v>
      </c>
      <c r="C223" s="1"/>
      <c r="D223" t="s">
        <v>1423</v>
      </c>
      <c r="E223" s="2" t="s">
        <v>480</v>
      </c>
      <c r="F223" s="137" t="s">
        <v>1424</v>
      </c>
      <c r="G223" s="137" t="s">
        <v>1425</v>
      </c>
      <c r="H223" s="137" t="s">
        <v>1426</v>
      </c>
      <c r="I223" s="113" t="s">
        <v>292</v>
      </c>
      <c r="J223" s="108" t="str">
        <f t="shared" si="3"/>
        <v>021901</v>
      </c>
    </row>
    <row r="224" spans="1:10" ht="15" customHeight="1" x14ac:dyDescent="0.25">
      <c r="A224" t="str">
        <f>Table1[[#This Row],[District name]]&amp;" "&amp;Table1[[#This Row],[District number]]</f>
        <v>COLLINSVILLE ISD 091902</v>
      </c>
      <c r="B224" t="s">
        <v>1427</v>
      </c>
      <c r="C224" s="1"/>
      <c r="D224" t="s">
        <v>1428</v>
      </c>
      <c r="E224" s="2" t="s">
        <v>288</v>
      </c>
      <c r="F224" s="137" t="s">
        <v>1429</v>
      </c>
      <c r="G224" s="137" t="s">
        <v>1430</v>
      </c>
      <c r="H224" s="137" t="s">
        <v>1431</v>
      </c>
      <c r="I224" s="113" t="s">
        <v>292</v>
      </c>
      <c r="J224" s="108" t="str">
        <f t="shared" si="3"/>
        <v>091902</v>
      </c>
    </row>
    <row r="225" spans="1:10" ht="15" customHeight="1" x14ac:dyDescent="0.25">
      <c r="A225" t="str">
        <f>Table1[[#This Row],[District name]]&amp;" "&amp;Table1[[#This Row],[District number]]</f>
        <v>COLMESNEIL ISD 229901</v>
      </c>
      <c r="B225" t="s">
        <v>1432</v>
      </c>
      <c r="C225" s="1"/>
      <c r="D225" t="s">
        <v>1433</v>
      </c>
      <c r="E225" s="2" t="s">
        <v>706</v>
      </c>
      <c r="F225" s="137" t="s">
        <v>1434</v>
      </c>
      <c r="G225" s="137" t="s">
        <v>1435</v>
      </c>
      <c r="H225" s="137" t="s">
        <v>1436</v>
      </c>
      <c r="I225" s="113" t="s">
        <v>292</v>
      </c>
      <c r="J225" s="108" t="str">
        <f t="shared" si="3"/>
        <v>229901</v>
      </c>
    </row>
    <row r="226" spans="1:10" ht="15" customHeight="1" x14ac:dyDescent="0.25">
      <c r="A226" t="str">
        <f>Table1[[#This Row],[District name]]&amp;" "&amp;Table1[[#This Row],[District number]]</f>
        <v>COLORADO ISD 168901</v>
      </c>
      <c r="B226" t="s">
        <v>1437</v>
      </c>
      <c r="C226" s="1"/>
      <c r="D226" t="s">
        <v>1438</v>
      </c>
      <c r="E226" s="2" t="s">
        <v>314</v>
      </c>
      <c r="F226" s="137" t="s">
        <v>1439</v>
      </c>
      <c r="G226" s="137" t="s">
        <v>1440</v>
      </c>
      <c r="H226" s="137" t="s">
        <v>1441</v>
      </c>
      <c r="I226" s="113" t="s">
        <v>292</v>
      </c>
      <c r="J226" s="108" t="str">
        <f t="shared" si="3"/>
        <v>168901</v>
      </c>
    </row>
    <row r="227" spans="1:10" ht="15" customHeight="1" x14ac:dyDescent="0.25">
      <c r="A227" t="str">
        <f>Table1[[#This Row],[District name]]&amp;" "&amp;Table1[[#This Row],[District number]]</f>
        <v>COLUMBIA-BRAZORIA ISD 020907</v>
      </c>
      <c r="B227" t="s">
        <v>1442</v>
      </c>
      <c r="C227" s="1"/>
      <c r="D227" t="s">
        <v>1443</v>
      </c>
      <c r="E227" s="2" t="s">
        <v>295</v>
      </c>
      <c r="F227" s="137" t="s">
        <v>1444</v>
      </c>
      <c r="G227" s="137" t="s">
        <v>1445</v>
      </c>
      <c r="H227" s="137" t="s">
        <v>1446</v>
      </c>
      <c r="I227" s="113" t="s">
        <v>292</v>
      </c>
      <c r="J227" s="108" t="str">
        <f t="shared" si="3"/>
        <v>020907</v>
      </c>
    </row>
    <row r="228" spans="1:10" ht="15" customHeight="1" x14ac:dyDescent="0.25">
      <c r="A228" t="str">
        <f>Table1[[#This Row],[District name]]&amp;" "&amp;Table1[[#This Row],[District number]]</f>
        <v>COLUMBUS ISD 045902</v>
      </c>
      <c r="B228" t="s">
        <v>1447</v>
      </c>
      <c r="C228" s="1"/>
      <c r="D228" t="s">
        <v>1448</v>
      </c>
      <c r="E228" s="2" t="s">
        <v>614</v>
      </c>
      <c r="F228" s="137" t="s">
        <v>1449</v>
      </c>
      <c r="G228" s="137" t="s">
        <v>1450</v>
      </c>
      <c r="H228" s="137" t="s">
        <v>1451</v>
      </c>
      <c r="I228" s="113" t="s">
        <v>292</v>
      </c>
      <c r="J228" s="108" t="str">
        <f t="shared" si="3"/>
        <v>045902</v>
      </c>
    </row>
    <row r="229" spans="1:10" ht="15" customHeight="1" x14ac:dyDescent="0.25">
      <c r="A229" t="str">
        <f>Table1[[#This Row],[District name]]&amp;" "&amp;Table1[[#This Row],[District number]]</f>
        <v>COMAL ISD 046902</v>
      </c>
      <c r="B229" t="s">
        <v>1452</v>
      </c>
      <c r="C229" s="1"/>
      <c r="D229" t="s">
        <v>1453</v>
      </c>
      <c r="E229" s="2" t="s">
        <v>598</v>
      </c>
      <c r="F229" s="137" t="s">
        <v>1454</v>
      </c>
      <c r="G229" s="137" t="s">
        <v>1455</v>
      </c>
      <c r="H229" s="137" t="s">
        <v>1456</v>
      </c>
      <c r="I229" s="113" t="s">
        <v>292</v>
      </c>
      <c r="J229" s="108" t="str">
        <f t="shared" si="3"/>
        <v>046902</v>
      </c>
    </row>
    <row r="230" spans="1:10" ht="15" customHeight="1" x14ac:dyDescent="0.25">
      <c r="A230" t="str">
        <f>Table1[[#This Row],[District name]]&amp;" "&amp;Table1[[#This Row],[District number]]</f>
        <v>COMANCHE ISD 047901</v>
      </c>
      <c r="B230" t="s">
        <v>1457</v>
      </c>
      <c r="C230" s="1"/>
      <c r="D230" t="s">
        <v>1458</v>
      </c>
      <c r="E230" s="2" t="s">
        <v>314</v>
      </c>
      <c r="F230" s="137" t="s">
        <v>1459</v>
      </c>
      <c r="G230" s="137" t="s">
        <v>1460</v>
      </c>
      <c r="H230" s="137" t="s">
        <v>1461</v>
      </c>
      <c r="I230" s="113" t="s">
        <v>292</v>
      </c>
      <c r="J230" s="108" t="str">
        <f t="shared" si="3"/>
        <v>047901</v>
      </c>
    </row>
    <row r="231" spans="1:10" ht="15" customHeight="1" x14ac:dyDescent="0.25">
      <c r="A231" t="str">
        <f>Table1[[#This Row],[District name]]&amp;" "&amp;Table1[[#This Row],[District number]]</f>
        <v>COMFORT ISD 130902</v>
      </c>
      <c r="B231" t="s">
        <v>1462</v>
      </c>
      <c r="C231" s="1"/>
      <c r="D231" t="s">
        <v>1463</v>
      </c>
      <c r="E231" s="2" t="s">
        <v>598</v>
      </c>
      <c r="F231" s="137" t="s">
        <v>1464</v>
      </c>
      <c r="G231" s="137" t="s">
        <v>1465</v>
      </c>
      <c r="H231" s="137" t="s">
        <v>1466</v>
      </c>
      <c r="I231" s="113" t="s">
        <v>292</v>
      </c>
      <c r="J231" s="108" t="str">
        <f t="shared" si="3"/>
        <v>130902</v>
      </c>
    </row>
    <row r="232" spans="1:10" ht="15" customHeight="1" x14ac:dyDescent="0.25">
      <c r="A232" t="str">
        <f>Table1[[#This Row],[District name]]&amp;" "&amp;Table1[[#This Row],[District number]]</f>
        <v>COMMERCE ISD 116903</v>
      </c>
      <c r="B232" t="s">
        <v>1467</v>
      </c>
      <c r="C232" s="1"/>
      <c r="D232" t="s">
        <v>1468</v>
      </c>
      <c r="E232" s="2" t="s">
        <v>288</v>
      </c>
      <c r="F232" s="137" t="s">
        <v>1469</v>
      </c>
      <c r="G232" s="137" t="s">
        <v>1470</v>
      </c>
      <c r="H232" s="137" t="s">
        <v>1471</v>
      </c>
      <c r="I232" s="113" t="s">
        <v>292</v>
      </c>
      <c r="J232" s="108" t="str">
        <f t="shared" si="3"/>
        <v>116903</v>
      </c>
    </row>
    <row r="233" spans="1:10" ht="15" customHeight="1" x14ac:dyDescent="0.25">
      <c r="A233" t="str">
        <f>Table1[[#This Row],[District name]]&amp;" "&amp;Table1[[#This Row],[District number]]</f>
        <v>COMMUNITY ISD 043918</v>
      </c>
      <c r="B233" t="s">
        <v>1472</v>
      </c>
      <c r="C233" s="1"/>
      <c r="D233" t="s">
        <v>1473</v>
      </c>
      <c r="E233" s="2" t="s">
        <v>288</v>
      </c>
      <c r="F233" s="137" t="s">
        <v>1474</v>
      </c>
      <c r="G233" s="137" t="s">
        <v>1475</v>
      </c>
      <c r="H233" s="137" t="s">
        <v>1476</v>
      </c>
      <c r="I233" s="113" t="s">
        <v>292</v>
      </c>
      <c r="J233" s="108" t="str">
        <f t="shared" si="3"/>
        <v>043918</v>
      </c>
    </row>
    <row r="234" spans="1:10" ht="15" customHeight="1" x14ac:dyDescent="0.25">
      <c r="A234" t="str">
        <f>Table1[[#This Row],[District name]]&amp;" "&amp;Table1[[#This Row],[District number]]</f>
        <v>COMO-PICKTON CISD 112908</v>
      </c>
      <c r="B234" t="s">
        <v>1477</v>
      </c>
      <c r="C234" s="1"/>
      <c r="D234" t="s">
        <v>1478</v>
      </c>
      <c r="E234" s="2" t="s">
        <v>587</v>
      </c>
      <c r="F234" s="137" t="s">
        <v>1479</v>
      </c>
      <c r="G234" s="137" t="s">
        <v>1480</v>
      </c>
      <c r="H234" s="137" t="s">
        <v>1481</v>
      </c>
      <c r="I234" s="113" t="s">
        <v>292</v>
      </c>
      <c r="J234" s="108" t="str">
        <f t="shared" si="3"/>
        <v>112908</v>
      </c>
    </row>
    <row r="235" spans="1:10" ht="15" customHeight="1" x14ac:dyDescent="0.25">
      <c r="A235" t="str">
        <f>Table1[[#This Row],[District name]]&amp;" "&amp;Table1[[#This Row],[District number]]</f>
        <v>COMPASS ACADEMY CHARTER SCHOOL 068802</v>
      </c>
      <c r="B235" t="s">
        <v>1482</v>
      </c>
      <c r="C235" s="1"/>
      <c r="D235" t="s">
        <v>1483</v>
      </c>
      <c r="E235" s="2" t="s">
        <v>430</v>
      </c>
      <c r="F235" s="137" t="s">
        <v>1484</v>
      </c>
      <c r="G235" s="137" t="s">
        <v>1485</v>
      </c>
      <c r="H235" s="137" t="s">
        <v>1486</v>
      </c>
      <c r="I235" s="113" t="s">
        <v>292</v>
      </c>
      <c r="J235" s="108" t="str">
        <f t="shared" si="3"/>
        <v>068802</v>
      </c>
    </row>
    <row r="236" spans="1:10" ht="15" customHeight="1" x14ac:dyDescent="0.25">
      <c r="A236" t="str">
        <f>Table1[[#This Row],[District name]]&amp;" "&amp;Table1[[#This Row],[District number]]</f>
        <v>COMPASS ROSE PUBLIC SCHOOLS 015838</v>
      </c>
      <c r="B236" t="s">
        <v>1487</v>
      </c>
      <c r="C236" s="1"/>
      <c r="D236" t="s">
        <v>1488</v>
      </c>
      <c r="E236" s="2" t="s">
        <v>376</v>
      </c>
      <c r="F236" s="137" t="s">
        <v>1489</v>
      </c>
      <c r="G236" s="137" t="s">
        <v>1490</v>
      </c>
      <c r="H236" s="137" t="s">
        <v>1491</v>
      </c>
      <c r="I236" s="113" t="s">
        <v>292</v>
      </c>
      <c r="J236" s="108" t="str">
        <f t="shared" si="3"/>
        <v>015838</v>
      </c>
    </row>
    <row r="237" spans="1:10" ht="15" customHeight="1" x14ac:dyDescent="0.25">
      <c r="A237" t="str">
        <f>Table1[[#This Row],[District name]]&amp;" "&amp;Table1[[#This Row],[District number]]</f>
        <v>COMQUEST ACADEMY 101842</v>
      </c>
      <c r="B237" t="s">
        <v>1492</v>
      </c>
      <c r="C237" s="1"/>
      <c r="D237" t="s">
        <v>1493</v>
      </c>
      <c r="E237" s="2" t="s">
        <v>295</v>
      </c>
      <c r="F237" s="137" t="s">
        <v>1494</v>
      </c>
      <c r="G237" s="137" t="s">
        <v>1495</v>
      </c>
      <c r="H237" s="137" t="s">
        <v>1496</v>
      </c>
      <c r="I237" s="113" t="s">
        <v>292</v>
      </c>
      <c r="J237" s="108" t="str">
        <f t="shared" si="3"/>
        <v>101842</v>
      </c>
    </row>
    <row r="238" spans="1:10" ht="15" customHeight="1" x14ac:dyDescent="0.25">
      <c r="A238" t="str">
        <f>Table1[[#This Row],[District name]]&amp;" "&amp;Table1[[#This Row],[District number]]</f>
        <v>COMSTOCK ISD 233903</v>
      </c>
      <c r="B238" t="s">
        <v>1497</v>
      </c>
      <c r="C238" s="1"/>
      <c r="D238" t="s">
        <v>1498</v>
      </c>
      <c r="E238" s="2" t="s">
        <v>650</v>
      </c>
      <c r="F238" s="137" t="s">
        <v>1499</v>
      </c>
      <c r="G238" s="137" t="s">
        <v>1500</v>
      </c>
      <c r="H238" s="137" t="s">
        <v>1501</v>
      </c>
      <c r="I238" s="113" t="s">
        <v>292</v>
      </c>
      <c r="J238" s="108" t="str">
        <f t="shared" si="3"/>
        <v>233903</v>
      </c>
    </row>
    <row r="239" spans="1:10" ht="15" customHeight="1" x14ac:dyDescent="0.25">
      <c r="A239" t="str">
        <f>Table1[[#This Row],[District name]]&amp;" "&amp;Table1[[#This Row],[District number]]</f>
        <v>CONNALLY ISD 161921</v>
      </c>
      <c r="B239" t="s">
        <v>1502</v>
      </c>
      <c r="C239" s="1"/>
      <c r="D239" t="s">
        <v>1503</v>
      </c>
      <c r="E239" s="2" t="s">
        <v>301</v>
      </c>
      <c r="F239" s="137" t="s">
        <v>1504</v>
      </c>
      <c r="G239" s="137" t="s">
        <v>1505</v>
      </c>
      <c r="H239" s="137" t="s">
        <v>1506</v>
      </c>
      <c r="I239" s="113" t="s">
        <v>292</v>
      </c>
      <c r="J239" s="108" t="str">
        <f t="shared" si="3"/>
        <v>161921</v>
      </c>
    </row>
    <row r="240" spans="1:10" ht="15" customHeight="1" x14ac:dyDescent="0.25">
      <c r="A240" t="str">
        <f>Table1[[#This Row],[District name]]&amp;" "&amp;Table1[[#This Row],[District number]]</f>
        <v>CONROE ISD 170902</v>
      </c>
      <c r="B240" t="s">
        <v>1507</v>
      </c>
      <c r="C240" s="1"/>
      <c r="D240" t="s">
        <v>1508</v>
      </c>
      <c r="E240" s="2" t="s">
        <v>480</v>
      </c>
      <c r="F240" s="137" t="s">
        <v>1509</v>
      </c>
      <c r="G240" s="137" t="s">
        <v>1510</v>
      </c>
      <c r="H240" s="137" t="s">
        <v>1511</v>
      </c>
      <c r="I240" s="113" t="s">
        <v>292</v>
      </c>
      <c r="J240" s="108" t="str">
        <f t="shared" si="3"/>
        <v>170902</v>
      </c>
    </row>
    <row r="241" spans="1:10" ht="15" customHeight="1" x14ac:dyDescent="0.25">
      <c r="A241" t="str">
        <f>Table1[[#This Row],[District name]]&amp;" "&amp;Table1[[#This Row],[District number]]</f>
        <v>COOLIDGE ISD 147901</v>
      </c>
      <c r="B241" t="s">
        <v>1512</v>
      </c>
      <c r="C241" s="1"/>
      <c r="D241" t="s">
        <v>1513</v>
      </c>
      <c r="E241" s="2" t="s">
        <v>301</v>
      </c>
      <c r="F241" s="137" t="s">
        <v>1514</v>
      </c>
      <c r="G241" s="137" t="s">
        <v>1515</v>
      </c>
      <c r="H241" s="137" t="s">
        <v>1516</v>
      </c>
      <c r="I241" s="113" t="s">
        <v>292</v>
      </c>
      <c r="J241" s="108" t="str">
        <f t="shared" si="3"/>
        <v>147901</v>
      </c>
    </row>
    <row r="242" spans="1:10" ht="15" customHeight="1" x14ac:dyDescent="0.25">
      <c r="A242" t="str">
        <f>Table1[[#This Row],[District name]]&amp;" "&amp;Table1[[#This Row],[District number]]</f>
        <v>COOPER ISD 060902</v>
      </c>
      <c r="B242" t="s">
        <v>1517</v>
      </c>
      <c r="C242" s="1"/>
      <c r="D242" t="s">
        <v>1518</v>
      </c>
      <c r="E242" s="2" t="s">
        <v>587</v>
      </c>
      <c r="F242" s="137" t="s">
        <v>1519</v>
      </c>
      <c r="G242" s="137" t="s">
        <v>1520</v>
      </c>
      <c r="H242" s="137" t="s">
        <v>1521</v>
      </c>
      <c r="I242" s="113" t="s">
        <v>292</v>
      </c>
      <c r="J242" s="108" t="str">
        <f t="shared" si="3"/>
        <v>060902</v>
      </c>
    </row>
    <row r="243" spans="1:10" ht="15" customHeight="1" x14ac:dyDescent="0.25">
      <c r="A243" t="str">
        <f>Table1[[#This Row],[District name]]&amp;" "&amp;Table1[[#This Row],[District number]]</f>
        <v>COPPELL ISD 057922</v>
      </c>
      <c r="B243" t="s">
        <v>1522</v>
      </c>
      <c r="C243" s="1"/>
      <c r="D243" t="s">
        <v>1523</v>
      </c>
      <c r="E243" s="2" t="s">
        <v>288</v>
      </c>
      <c r="F243" s="137" t="s">
        <v>1524</v>
      </c>
      <c r="G243" s="137" t="s">
        <v>1525</v>
      </c>
      <c r="H243" s="137" t="s">
        <v>1079</v>
      </c>
      <c r="I243" s="113" t="s">
        <v>292</v>
      </c>
      <c r="J243" s="108" t="str">
        <f t="shared" si="3"/>
        <v>057922</v>
      </c>
    </row>
    <row r="244" spans="1:10" ht="15" customHeight="1" x14ac:dyDescent="0.25">
      <c r="A244" t="str">
        <f>Table1[[#This Row],[District name]]&amp;" "&amp;Table1[[#This Row],[District number]]</f>
        <v>COPPERAS COVE ISD 050910</v>
      </c>
      <c r="B244" t="s">
        <v>1526</v>
      </c>
      <c r="C244" s="1"/>
      <c r="D244" t="s">
        <v>1527</v>
      </c>
      <c r="E244" s="2" t="s">
        <v>301</v>
      </c>
      <c r="F244" s="137" t="s">
        <v>1528</v>
      </c>
      <c r="G244" s="137" t="s">
        <v>1529</v>
      </c>
      <c r="H244" s="137" t="s">
        <v>897</v>
      </c>
      <c r="I244" s="113" t="s">
        <v>292</v>
      </c>
      <c r="J244" s="108" t="str">
        <f t="shared" si="3"/>
        <v>050910</v>
      </c>
    </row>
    <row r="245" spans="1:10" ht="15" customHeight="1" x14ac:dyDescent="0.25">
      <c r="A245" t="str">
        <f>Table1[[#This Row],[District name]]&amp;" "&amp;Table1[[#This Row],[District number]]</f>
        <v>CORPUS CHRISTI ISD 178904</v>
      </c>
      <c r="B245" t="s">
        <v>1530</v>
      </c>
      <c r="C245" s="1"/>
      <c r="D245" t="s">
        <v>1531</v>
      </c>
      <c r="E245" s="2" t="s">
        <v>369</v>
      </c>
      <c r="F245" s="137" t="s">
        <v>1532</v>
      </c>
      <c r="G245" s="137" t="s">
        <v>1533</v>
      </c>
      <c r="H245" s="137" t="s">
        <v>1534</v>
      </c>
      <c r="I245" s="113" t="s">
        <v>292</v>
      </c>
      <c r="J245" s="108" t="str">
        <f t="shared" si="3"/>
        <v>178904</v>
      </c>
    </row>
    <row r="246" spans="1:10" ht="15" customHeight="1" x14ac:dyDescent="0.25">
      <c r="A246" t="str">
        <f>Table1[[#This Row],[District name]]&amp;" "&amp;Table1[[#This Row],[District number]]</f>
        <v>CORPUS CHRISTI MONTESSORI SCHOOL 178807</v>
      </c>
      <c r="B246" t="s">
        <v>1535</v>
      </c>
      <c r="C246" s="1"/>
      <c r="D246" t="s">
        <v>1536</v>
      </c>
      <c r="E246" s="2" t="s">
        <v>369</v>
      </c>
      <c r="F246" s="137" t="s">
        <v>1537</v>
      </c>
      <c r="G246" s="137" t="s">
        <v>1538</v>
      </c>
      <c r="H246" s="137" t="s">
        <v>1539</v>
      </c>
      <c r="I246" s="113" t="s">
        <v>292</v>
      </c>
      <c r="J246" s="108" t="str">
        <f t="shared" si="3"/>
        <v>178807</v>
      </c>
    </row>
    <row r="247" spans="1:10" ht="15" customHeight="1" x14ac:dyDescent="0.25">
      <c r="A247" t="str">
        <f>Table1[[#This Row],[District name]]&amp;" "&amp;Table1[[#This Row],[District number]]</f>
        <v>CORRIGAN-CAMDEN ISD 187904</v>
      </c>
      <c r="B247" t="s">
        <v>1540</v>
      </c>
      <c r="C247" s="1"/>
      <c r="D247" t="s">
        <v>1541</v>
      </c>
      <c r="E247" s="2" t="s">
        <v>480</v>
      </c>
      <c r="F247" s="137" t="s">
        <v>1542</v>
      </c>
      <c r="G247" s="137" t="s">
        <v>1543</v>
      </c>
      <c r="H247" s="137" t="s">
        <v>1544</v>
      </c>
      <c r="I247" s="113" t="s">
        <v>292</v>
      </c>
      <c r="J247" s="108" t="str">
        <f t="shared" si="3"/>
        <v>187904</v>
      </c>
    </row>
    <row r="248" spans="1:10" ht="15" customHeight="1" x14ac:dyDescent="0.25">
      <c r="A248" t="str">
        <f>Table1[[#This Row],[District name]]&amp;" "&amp;Table1[[#This Row],[District number]]</f>
        <v>CORSICANA ISD 175903</v>
      </c>
      <c r="B248" t="s">
        <v>1545</v>
      </c>
      <c r="C248" s="1"/>
      <c r="D248" t="s">
        <v>1546</v>
      </c>
      <c r="E248" s="2" t="s">
        <v>301</v>
      </c>
      <c r="F248" s="137" t="s">
        <v>1547</v>
      </c>
      <c r="G248" s="137" t="s">
        <v>1548</v>
      </c>
      <c r="H248" s="137" t="s">
        <v>1549</v>
      </c>
      <c r="I248" s="113" t="s">
        <v>292</v>
      </c>
      <c r="J248" s="108" t="str">
        <f t="shared" si="3"/>
        <v>175903</v>
      </c>
    </row>
    <row r="249" spans="1:10" ht="15" customHeight="1" x14ac:dyDescent="0.25">
      <c r="A249" t="str">
        <f>Table1[[#This Row],[District name]]&amp;" "&amp;Table1[[#This Row],[District number]]</f>
        <v>COTTON CENTER ISD 095902</v>
      </c>
      <c r="B249" t="s">
        <v>1550</v>
      </c>
      <c r="C249" s="1"/>
      <c r="D249" t="s">
        <v>1551</v>
      </c>
      <c r="E249" s="2" t="s">
        <v>308</v>
      </c>
      <c r="F249" s="137" t="s">
        <v>1552</v>
      </c>
      <c r="G249" s="137" t="s">
        <v>1553</v>
      </c>
      <c r="H249" s="137" t="s">
        <v>1554</v>
      </c>
      <c r="I249" s="113" t="s">
        <v>292</v>
      </c>
      <c r="J249" s="108" t="str">
        <f t="shared" si="3"/>
        <v>095902</v>
      </c>
    </row>
    <row r="250" spans="1:10" ht="15" customHeight="1" x14ac:dyDescent="0.25">
      <c r="A250" t="str">
        <f>Table1[[#This Row],[District name]]&amp;" "&amp;Table1[[#This Row],[District number]]</f>
        <v>COTULLA ISD 142901</v>
      </c>
      <c r="B250" t="s">
        <v>1555</v>
      </c>
      <c r="C250" s="1"/>
      <c r="D250" t="s">
        <v>1556</v>
      </c>
      <c r="E250" s="2" t="s">
        <v>376</v>
      </c>
      <c r="F250" s="137" t="s">
        <v>1557</v>
      </c>
      <c r="G250" s="137" t="s">
        <v>1558</v>
      </c>
      <c r="H250" s="137" t="s">
        <v>1559</v>
      </c>
      <c r="I250" s="113" t="s">
        <v>292</v>
      </c>
      <c r="J250" s="108" t="str">
        <f t="shared" si="3"/>
        <v>142901</v>
      </c>
    </row>
    <row r="251" spans="1:10" ht="15" customHeight="1" x14ac:dyDescent="0.25">
      <c r="A251" t="str">
        <f>Table1[[#This Row],[District name]]&amp;" "&amp;Table1[[#This Row],[District number]]</f>
        <v>COUPLAND ISD 246914</v>
      </c>
      <c r="B251" t="s">
        <v>1560</v>
      </c>
      <c r="C251" s="1"/>
      <c r="D251" t="s">
        <v>1561</v>
      </c>
      <c r="E251" s="2" t="s">
        <v>598</v>
      </c>
      <c r="F251" s="137" t="s">
        <v>1228</v>
      </c>
      <c r="G251" s="137" t="s">
        <v>1229</v>
      </c>
      <c r="H251" s="137" t="s">
        <v>1230</v>
      </c>
      <c r="I251" s="113" t="s">
        <v>292</v>
      </c>
      <c r="J251" s="108" t="str">
        <f t="shared" si="3"/>
        <v>246914</v>
      </c>
    </row>
    <row r="252" spans="1:10" ht="15" customHeight="1" x14ac:dyDescent="0.25">
      <c r="A252" t="str">
        <f>Table1[[#This Row],[District name]]&amp;" "&amp;Table1[[#This Row],[District number]]</f>
        <v>COVINGTON ISD 109903</v>
      </c>
      <c r="B252" t="s">
        <v>1562</v>
      </c>
      <c r="C252" s="1"/>
      <c r="D252" t="s">
        <v>1563</v>
      </c>
      <c r="E252" s="2" t="s">
        <v>301</v>
      </c>
      <c r="F252" s="137" t="s">
        <v>1564</v>
      </c>
      <c r="G252" s="137" t="s">
        <v>1565</v>
      </c>
      <c r="H252" s="137" t="s">
        <v>1566</v>
      </c>
      <c r="I252" s="113" t="s">
        <v>292</v>
      </c>
      <c r="J252" s="108" t="str">
        <f t="shared" si="3"/>
        <v>109903</v>
      </c>
    </row>
    <row r="253" spans="1:10" ht="15" customHeight="1" x14ac:dyDescent="0.25">
      <c r="A253" t="str">
        <f>Table1[[#This Row],[District name]]&amp;" "&amp;Table1[[#This Row],[District number]]</f>
        <v>CRANDALL ISD 129901</v>
      </c>
      <c r="B253" t="s">
        <v>1567</v>
      </c>
      <c r="C253" s="1"/>
      <c r="D253" t="s">
        <v>1568</v>
      </c>
      <c r="E253" s="2" t="s">
        <v>288</v>
      </c>
      <c r="F253" s="137" t="s">
        <v>1569</v>
      </c>
      <c r="G253" s="137" t="s">
        <v>1570</v>
      </c>
      <c r="H253" s="137" t="s">
        <v>1571</v>
      </c>
      <c r="I253" s="113" t="s">
        <v>292</v>
      </c>
      <c r="J253" s="108" t="str">
        <f t="shared" si="3"/>
        <v>129901</v>
      </c>
    </row>
    <row r="254" spans="1:10" ht="15" customHeight="1" x14ac:dyDescent="0.25">
      <c r="A254" t="str">
        <f>Table1[[#This Row],[District name]]&amp;" "&amp;Table1[[#This Row],[District number]]</f>
        <v>CRANE ISD 052901</v>
      </c>
      <c r="B254" t="s">
        <v>1572</v>
      </c>
      <c r="C254" s="1"/>
      <c r="D254" t="s">
        <v>1573</v>
      </c>
      <c r="E254" s="2" t="s">
        <v>430</v>
      </c>
      <c r="F254" s="137" t="s">
        <v>1574</v>
      </c>
      <c r="G254" s="137" t="s">
        <v>1575</v>
      </c>
      <c r="H254" s="137" t="s">
        <v>1576</v>
      </c>
      <c r="I254" s="113" t="s">
        <v>292</v>
      </c>
      <c r="J254" s="108" t="str">
        <f t="shared" si="3"/>
        <v>052901</v>
      </c>
    </row>
    <row r="255" spans="1:10" ht="15" customHeight="1" x14ac:dyDescent="0.25">
      <c r="A255" t="str">
        <f>Table1[[#This Row],[District name]]&amp;" "&amp;Table1[[#This Row],[District number]]</f>
        <v>CRANFILLS GAP ISD 018908</v>
      </c>
      <c r="B255" t="s">
        <v>1577</v>
      </c>
      <c r="C255" s="1"/>
      <c r="D255" t="s">
        <v>1578</v>
      </c>
      <c r="E255" s="2" t="s">
        <v>301</v>
      </c>
      <c r="F255" s="137" t="s">
        <v>1579</v>
      </c>
      <c r="G255" s="137" t="s">
        <v>1580</v>
      </c>
      <c r="H255" s="137" t="s">
        <v>1581</v>
      </c>
      <c r="I255" s="113" t="s">
        <v>292</v>
      </c>
      <c r="J255" s="108" t="str">
        <f t="shared" si="3"/>
        <v>018908</v>
      </c>
    </row>
    <row r="256" spans="1:10" ht="15" customHeight="1" x14ac:dyDescent="0.25">
      <c r="A256" t="str">
        <f>Table1[[#This Row],[District name]]&amp;" "&amp;Table1[[#This Row],[District number]]</f>
        <v>CRAWFORD ISD 161901</v>
      </c>
      <c r="B256" t="s">
        <v>1582</v>
      </c>
      <c r="C256" s="1"/>
      <c r="D256" t="s">
        <v>1583</v>
      </c>
      <c r="E256" s="2" t="s">
        <v>301</v>
      </c>
      <c r="F256" s="137" t="s">
        <v>1584</v>
      </c>
      <c r="G256" s="137" t="s">
        <v>1585</v>
      </c>
      <c r="H256" s="137" t="s">
        <v>1586</v>
      </c>
      <c r="I256" s="113" t="s">
        <v>292</v>
      </c>
      <c r="J256" s="108" t="str">
        <f t="shared" si="3"/>
        <v>161901</v>
      </c>
    </row>
    <row r="257" spans="1:10" ht="15" customHeight="1" x14ac:dyDescent="0.25">
      <c r="A257" t="str">
        <f>Table1[[#This Row],[District name]]&amp;" "&amp;Table1[[#This Row],[District number]]</f>
        <v>CROCKETT COUNTY CONSOLIDATED CSD 053001</v>
      </c>
      <c r="B257" t="s">
        <v>1587</v>
      </c>
      <c r="C257" s="1"/>
      <c r="D257" t="s">
        <v>1588</v>
      </c>
      <c r="E257" s="2" t="s">
        <v>650</v>
      </c>
      <c r="F257" s="137" t="s">
        <v>1589</v>
      </c>
      <c r="G257" s="137" t="s">
        <v>1590</v>
      </c>
      <c r="H257" s="137" t="s">
        <v>1591</v>
      </c>
      <c r="I257" s="113" t="s">
        <v>292</v>
      </c>
      <c r="J257" s="108" t="str">
        <f t="shared" si="3"/>
        <v>053001</v>
      </c>
    </row>
    <row r="258" spans="1:10" ht="15" customHeight="1" x14ac:dyDescent="0.25">
      <c r="A258" t="str">
        <f>Table1[[#This Row],[District name]]&amp;" "&amp;Table1[[#This Row],[District number]]</f>
        <v>CROCKETT ISD 113901</v>
      </c>
      <c r="B258" t="s">
        <v>1592</v>
      </c>
      <c r="C258" s="1"/>
      <c r="D258" t="s">
        <v>1593</v>
      </c>
      <c r="E258" s="2" t="s">
        <v>480</v>
      </c>
      <c r="F258" s="137" t="s">
        <v>470</v>
      </c>
      <c r="G258" s="137" t="s">
        <v>471</v>
      </c>
      <c r="H258" s="137" t="s">
        <v>472</v>
      </c>
      <c r="I258" s="113" t="s">
        <v>292</v>
      </c>
      <c r="J258" s="108" t="str">
        <f t="shared" si="3"/>
        <v>113901</v>
      </c>
    </row>
    <row r="259" spans="1:10" ht="15" customHeight="1" x14ac:dyDescent="0.25">
      <c r="A259" t="str">
        <f>Table1[[#This Row],[District name]]&amp;" "&amp;Table1[[#This Row],[District number]]</f>
        <v>CROSBY ISD 101906</v>
      </c>
      <c r="B259" t="s">
        <v>1594</v>
      </c>
      <c r="C259" s="1"/>
      <c r="D259" t="s">
        <v>1595</v>
      </c>
      <c r="E259" s="2" t="s">
        <v>295</v>
      </c>
      <c r="F259" s="137" t="s">
        <v>1596</v>
      </c>
      <c r="G259" s="137" t="s">
        <v>1597</v>
      </c>
      <c r="H259" s="137" t="s">
        <v>1598</v>
      </c>
      <c r="I259" s="113" t="s">
        <v>292</v>
      </c>
      <c r="J259" s="108" t="str">
        <f t="shared" ref="J259:J323" si="4">LEFT(B259,6)</f>
        <v>101906</v>
      </c>
    </row>
    <row r="260" spans="1:10" ht="15" customHeight="1" x14ac:dyDescent="0.25">
      <c r="A260" t="str">
        <f>Table1[[#This Row],[District name]]&amp;" "&amp;Table1[[#This Row],[District number]]</f>
        <v>CROSBYTON CISD 054901</v>
      </c>
      <c r="B260" t="s">
        <v>1599</v>
      </c>
      <c r="C260" s="1"/>
      <c r="D260" t="s">
        <v>1600</v>
      </c>
      <c r="E260" s="2" t="s">
        <v>308</v>
      </c>
      <c r="F260" s="137" t="s">
        <v>1601</v>
      </c>
      <c r="G260" s="137" t="s">
        <v>1602</v>
      </c>
      <c r="H260" s="137" t="s">
        <v>1603</v>
      </c>
      <c r="I260" s="113" t="s">
        <v>292</v>
      </c>
      <c r="J260" s="108" t="str">
        <f t="shared" si="4"/>
        <v>054901</v>
      </c>
    </row>
    <row r="261" spans="1:10" ht="15" customHeight="1" x14ac:dyDescent="0.25">
      <c r="A261" t="str">
        <f>Table1[[#This Row],[District name]]&amp;" "&amp;Table1[[#This Row],[District number]]</f>
        <v>CROSS PLAINS ISD 030901</v>
      </c>
      <c r="B261" t="s">
        <v>1604</v>
      </c>
      <c r="C261" s="1"/>
      <c r="D261" t="s">
        <v>1605</v>
      </c>
      <c r="E261" s="2" t="s">
        <v>314</v>
      </c>
      <c r="F261" s="137" t="s">
        <v>1606</v>
      </c>
      <c r="G261" s="137" t="s">
        <v>1607</v>
      </c>
      <c r="H261" s="137" t="s">
        <v>1608</v>
      </c>
      <c r="I261" s="113" t="s">
        <v>292</v>
      </c>
      <c r="J261" s="108" t="str">
        <f t="shared" si="4"/>
        <v>030901</v>
      </c>
    </row>
    <row r="262" spans="1:10" ht="15" customHeight="1" x14ac:dyDescent="0.25">
      <c r="A262" t="str">
        <f>Table1[[#This Row],[District name]]&amp;" "&amp;Table1[[#This Row],[District number]]</f>
        <v>CROSS ROADS ISD 107904</v>
      </c>
      <c r="B262" t="s">
        <v>1609</v>
      </c>
      <c r="C262" s="1"/>
      <c r="D262" t="s">
        <v>1610</v>
      </c>
      <c r="E262" s="2" t="s">
        <v>383</v>
      </c>
      <c r="F262" s="137" t="s">
        <v>1611</v>
      </c>
      <c r="G262" s="137" t="s">
        <v>1612</v>
      </c>
      <c r="H262" s="137" t="s">
        <v>1613</v>
      </c>
      <c r="I262" s="113" t="s">
        <v>292</v>
      </c>
      <c r="J262" s="108" t="str">
        <f t="shared" si="4"/>
        <v>107904</v>
      </c>
    </row>
    <row r="263" spans="1:10" ht="15" customHeight="1" x14ac:dyDescent="0.25">
      <c r="A263" t="str">
        <f>Table1[[#This Row],[District name]]&amp;" "&amp;Table1[[#This Row],[District number]]</f>
        <v>CROSSTIMBERS ACADEMY 184801</v>
      </c>
      <c r="B263" t="s">
        <v>1614</v>
      </c>
      <c r="C263" s="1"/>
      <c r="D263" t="s">
        <v>1615</v>
      </c>
      <c r="E263" s="2" t="s">
        <v>402</v>
      </c>
      <c r="F263" s="137" t="s">
        <v>1616</v>
      </c>
      <c r="G263" s="137" t="s">
        <v>1617</v>
      </c>
      <c r="H263" s="137" t="s">
        <v>1618</v>
      </c>
      <c r="I263" s="113" t="s">
        <v>292</v>
      </c>
      <c r="J263" s="108" t="str">
        <f t="shared" si="4"/>
        <v>184801</v>
      </c>
    </row>
    <row r="264" spans="1:10" ht="15" customHeight="1" x14ac:dyDescent="0.25">
      <c r="A264" t="str">
        <f>Table1[[#This Row],[District name]]&amp;" "&amp;Table1[[#This Row],[District number]]</f>
        <v>CROWELL ISD 078901</v>
      </c>
      <c r="B264" t="s">
        <v>1619</v>
      </c>
      <c r="C264" s="1"/>
      <c r="D264" t="s">
        <v>1620</v>
      </c>
      <c r="E264" s="2" t="s">
        <v>541</v>
      </c>
      <c r="F264" s="137" t="s">
        <v>1621</v>
      </c>
      <c r="G264" s="137" t="s">
        <v>1622</v>
      </c>
      <c r="H264" s="137" t="s">
        <v>1623</v>
      </c>
      <c r="I264" s="113" t="s">
        <v>292</v>
      </c>
      <c r="J264" s="108" t="str">
        <f t="shared" si="4"/>
        <v>078901</v>
      </c>
    </row>
    <row r="265" spans="1:10" ht="15" customHeight="1" x14ac:dyDescent="0.25">
      <c r="A265" t="str">
        <f>Table1[[#This Row],[District name]]&amp;" "&amp;Table1[[#This Row],[District number]]</f>
        <v>CROWLEY ISD 220912</v>
      </c>
      <c r="B265" t="s">
        <v>1624</v>
      </c>
      <c r="C265" s="1"/>
      <c r="D265" t="s">
        <v>1625</v>
      </c>
      <c r="E265" s="2" t="s">
        <v>402</v>
      </c>
      <c r="F265" s="137" t="s">
        <v>1626</v>
      </c>
      <c r="G265" s="137" t="s">
        <v>1627</v>
      </c>
      <c r="H265" s="137" t="s">
        <v>1628</v>
      </c>
      <c r="I265" s="113" t="s">
        <v>292</v>
      </c>
      <c r="J265" s="108" t="str">
        <f t="shared" si="4"/>
        <v>220912</v>
      </c>
    </row>
    <row r="266" spans="1:10" ht="15" customHeight="1" x14ac:dyDescent="0.25">
      <c r="A266" t="str">
        <f>Table1[[#This Row],[District name]]&amp;" "&amp;Table1[[#This Row],[District number]]</f>
        <v>CRYSTAL CITY ISD 254901</v>
      </c>
      <c r="B266" s="138" t="s">
        <v>1629</v>
      </c>
      <c r="C266" s="1"/>
      <c r="D266" t="s">
        <v>1630</v>
      </c>
      <c r="E266" s="2" t="s">
        <v>376</v>
      </c>
      <c r="F266" s="137" t="s">
        <v>1631</v>
      </c>
      <c r="G266" s="137" t="s">
        <v>1632</v>
      </c>
      <c r="H266" s="137" t="s">
        <v>1633</v>
      </c>
      <c r="I266" s="113" t="s">
        <v>292</v>
      </c>
      <c r="J266" s="108" t="str">
        <f t="shared" si="4"/>
        <v>254901</v>
      </c>
    </row>
    <row r="267" spans="1:10" ht="15" customHeight="1" x14ac:dyDescent="0.25">
      <c r="A267" t="str">
        <f>Table1[[#This Row],[District name]]&amp;" "&amp;Table1[[#This Row],[District number]]</f>
        <v>CUERO ISD 062901</v>
      </c>
      <c r="B267" t="s">
        <v>1634</v>
      </c>
      <c r="C267" s="1"/>
      <c r="D267" t="s">
        <v>1635</v>
      </c>
      <c r="E267" s="2" t="s">
        <v>614</v>
      </c>
      <c r="F267" s="137" t="s">
        <v>1636</v>
      </c>
      <c r="G267" s="137" t="s">
        <v>1637</v>
      </c>
      <c r="H267" s="137" t="s">
        <v>1638</v>
      </c>
      <c r="I267" s="113" t="s">
        <v>292</v>
      </c>
      <c r="J267" s="108" t="str">
        <f t="shared" si="4"/>
        <v>062901</v>
      </c>
    </row>
    <row r="268" spans="1:10" ht="15" customHeight="1" x14ac:dyDescent="0.25">
      <c r="A268" t="str">
        <f>Table1[[#This Row],[District name]]&amp;" "&amp;Table1[[#This Row],[District number]]</f>
        <v>CULBERSON COUNTY-ALLAMOORE ISD 055901</v>
      </c>
      <c r="B268" t="s">
        <v>1639</v>
      </c>
      <c r="C268" s="1"/>
      <c r="D268" t="s">
        <v>1640</v>
      </c>
      <c r="E268" s="2" t="s">
        <v>430</v>
      </c>
      <c r="F268" s="137" t="s">
        <v>1641</v>
      </c>
      <c r="G268" s="137" t="s">
        <v>1642</v>
      </c>
      <c r="H268" s="137" t="s">
        <v>1643</v>
      </c>
      <c r="I268" s="113" t="s">
        <v>292</v>
      </c>
      <c r="J268" s="108" t="str">
        <f t="shared" si="4"/>
        <v>055901</v>
      </c>
    </row>
    <row r="269" spans="1:10" ht="15" customHeight="1" x14ac:dyDescent="0.25">
      <c r="A269" t="str">
        <f>Table1[[#This Row],[District name]]&amp;" "&amp;Table1[[#This Row],[District number]]</f>
        <v>CUMBERLAND ACADEMY 212801</v>
      </c>
      <c r="B269" t="s">
        <v>1644</v>
      </c>
      <c r="C269" s="1"/>
      <c r="D269" t="s">
        <v>1645</v>
      </c>
      <c r="E269" s="2" t="s">
        <v>383</v>
      </c>
      <c r="F269" s="137" t="s">
        <v>977</v>
      </c>
      <c r="G269" s="137" t="s">
        <v>978</v>
      </c>
      <c r="H269" s="137" t="s">
        <v>1646</v>
      </c>
      <c r="I269" s="113" t="s">
        <v>292</v>
      </c>
      <c r="J269" s="108" t="str">
        <f t="shared" si="4"/>
        <v>212801</v>
      </c>
    </row>
    <row r="270" spans="1:10" ht="15" customHeight="1" x14ac:dyDescent="0.25">
      <c r="A270" t="str">
        <f>Table1[[#This Row],[District name]]&amp;" "&amp;Table1[[#This Row],[District number]]</f>
        <v>CUMBY ISD 112905</v>
      </c>
      <c r="B270" t="s">
        <v>1647</v>
      </c>
      <c r="C270" s="1"/>
      <c r="D270" t="s">
        <v>1648</v>
      </c>
      <c r="E270" s="2" t="s">
        <v>587</v>
      </c>
      <c r="F270" s="137" t="s">
        <v>1649</v>
      </c>
      <c r="G270" s="137" t="s">
        <v>1650</v>
      </c>
      <c r="H270" s="137" t="s">
        <v>1651</v>
      </c>
      <c r="I270" s="113" t="s">
        <v>292</v>
      </c>
      <c r="J270" s="108" t="str">
        <f t="shared" si="4"/>
        <v>112905</v>
      </c>
    </row>
    <row r="271" spans="1:10" ht="15" customHeight="1" x14ac:dyDescent="0.25">
      <c r="A271" t="str">
        <f>Table1[[#This Row],[District name]]&amp;" "&amp;Table1[[#This Row],[District number]]</f>
        <v>CUSHING ISD 174902</v>
      </c>
      <c r="B271" t="s">
        <v>1652</v>
      </c>
      <c r="C271" s="1"/>
      <c r="D271" t="s">
        <v>1653</v>
      </c>
      <c r="E271" s="2" t="s">
        <v>383</v>
      </c>
      <c r="F271" s="137" t="s">
        <v>1654</v>
      </c>
      <c r="G271" s="137" t="s">
        <v>1655</v>
      </c>
      <c r="H271" s="137" t="s">
        <v>1656</v>
      </c>
      <c r="I271" s="113" t="s">
        <v>292</v>
      </c>
      <c r="J271" s="108" t="str">
        <f t="shared" si="4"/>
        <v>174902</v>
      </c>
    </row>
    <row r="272" spans="1:10" ht="15" customHeight="1" x14ac:dyDescent="0.25">
      <c r="A272" t="str">
        <f>Table1[[#This Row],[District name]]&amp;" "&amp;Table1[[#This Row],[District number]]</f>
        <v>CYPRESS-FAIRBANKS ISD 101907</v>
      </c>
      <c r="B272" t="s">
        <v>1657</v>
      </c>
      <c r="C272" s="1"/>
      <c r="D272" t="s">
        <v>1658</v>
      </c>
      <c r="E272" s="2" t="s">
        <v>295</v>
      </c>
      <c r="F272" s="137" t="s">
        <v>1659</v>
      </c>
      <c r="G272" s="137" t="s">
        <v>1660</v>
      </c>
      <c r="H272" s="137" t="s">
        <v>1661</v>
      </c>
      <c r="I272" s="113" t="s">
        <v>292</v>
      </c>
      <c r="J272" s="108" t="str">
        <f t="shared" si="4"/>
        <v>101907</v>
      </c>
    </row>
    <row r="273" spans="1:10" ht="15" customHeight="1" x14ac:dyDescent="0.25">
      <c r="A273" t="str">
        <f>Table1[[#This Row],[District name]]&amp;" "&amp;Table1[[#This Row],[District number]]</f>
        <v>DAINGERFIELD-LONE STAR ISD 172902</v>
      </c>
      <c r="B273" t="s">
        <v>1662</v>
      </c>
      <c r="C273" s="1"/>
      <c r="D273" t="s">
        <v>1663</v>
      </c>
      <c r="E273" s="2" t="s">
        <v>587</v>
      </c>
      <c r="F273" s="137" t="s">
        <v>1664</v>
      </c>
      <c r="G273" s="137" t="s">
        <v>1665</v>
      </c>
      <c r="H273" s="137" t="s">
        <v>1666</v>
      </c>
      <c r="I273" s="113" t="s">
        <v>292</v>
      </c>
      <c r="J273" s="108" t="str">
        <f t="shared" si="4"/>
        <v>172902</v>
      </c>
    </row>
    <row r="274" spans="1:10" ht="15" customHeight="1" x14ac:dyDescent="0.25">
      <c r="A274" t="str">
        <f>Table1[[#This Row],[District name]]&amp;" "&amp;Table1[[#This Row],[District number]]</f>
        <v>DALHART ISD 056901</v>
      </c>
      <c r="B274" t="s">
        <v>1667</v>
      </c>
      <c r="C274" s="1"/>
      <c r="D274" t="s">
        <v>1668</v>
      </c>
      <c r="E274" s="2" t="s">
        <v>356</v>
      </c>
      <c r="F274" s="137" t="s">
        <v>1669</v>
      </c>
      <c r="G274" s="137" t="s">
        <v>1670</v>
      </c>
      <c r="H274" s="137" t="s">
        <v>1671</v>
      </c>
      <c r="I274" s="113" t="s">
        <v>292</v>
      </c>
      <c r="J274" s="108" t="str">
        <f t="shared" si="4"/>
        <v>056901</v>
      </c>
    </row>
    <row r="275" spans="1:10" ht="15" customHeight="1" x14ac:dyDescent="0.25">
      <c r="A275" t="str">
        <f>Table1[[#This Row],[District name]]&amp;" "&amp;Table1[[#This Row],[District number]]</f>
        <v>DALLAS ISD 057905</v>
      </c>
      <c r="B275" t="s">
        <v>1672</v>
      </c>
      <c r="C275" s="1"/>
      <c r="D275" t="s">
        <v>1673</v>
      </c>
      <c r="E275" s="2" t="s">
        <v>288</v>
      </c>
      <c r="F275" s="137" t="s">
        <v>1674</v>
      </c>
      <c r="G275" s="137" t="s">
        <v>1675</v>
      </c>
      <c r="H275" s="137" t="s">
        <v>1676</v>
      </c>
      <c r="I275" s="113" t="s">
        <v>292</v>
      </c>
      <c r="J275" s="108" t="str">
        <f t="shared" si="4"/>
        <v>057905</v>
      </c>
    </row>
    <row r="276" spans="1:10" ht="15" customHeight="1" x14ac:dyDescent="0.25">
      <c r="A276" t="str">
        <f>Table1[[#This Row],[District name]]&amp;" "&amp;Table1[[#This Row],[District number]]</f>
        <v>DAMON ISD 020910</v>
      </c>
      <c r="B276" t="s">
        <v>1677</v>
      </c>
      <c r="C276" s="1"/>
      <c r="D276" t="s">
        <v>1678</v>
      </c>
      <c r="E276" s="2" t="s">
        <v>295</v>
      </c>
      <c r="F276" s="137" t="s">
        <v>1679</v>
      </c>
      <c r="G276" s="137" t="s">
        <v>1680</v>
      </c>
      <c r="H276" s="137" t="s">
        <v>1681</v>
      </c>
      <c r="I276" s="113" t="s">
        <v>292</v>
      </c>
      <c r="J276" s="108" t="str">
        <f t="shared" si="4"/>
        <v>020910</v>
      </c>
    </row>
    <row r="277" spans="1:10" ht="15" customHeight="1" x14ac:dyDescent="0.25">
      <c r="A277" t="str">
        <f>Table1[[#This Row],[District name]]&amp;" "&amp;Table1[[#This Row],[District number]]</f>
        <v>DANBURY ISD 020904</v>
      </c>
      <c r="B277" t="s">
        <v>1682</v>
      </c>
      <c r="C277" s="1"/>
      <c r="D277" t="s">
        <v>1683</v>
      </c>
      <c r="E277" s="2" t="s">
        <v>295</v>
      </c>
      <c r="F277" s="137" t="s">
        <v>1684</v>
      </c>
      <c r="G277" s="137" t="s">
        <v>1685</v>
      </c>
      <c r="H277" s="137" t="s">
        <v>1686</v>
      </c>
      <c r="I277" s="113" t="s">
        <v>292</v>
      </c>
      <c r="J277" s="108" t="str">
        <f t="shared" si="4"/>
        <v>020904</v>
      </c>
    </row>
    <row r="278" spans="1:10" ht="15" customHeight="1" x14ac:dyDescent="0.25">
      <c r="A278" t="str">
        <f>Table1[[#This Row],[District name]]&amp;" "&amp;Table1[[#This Row],[District number]]</f>
        <v>DARROUZETT ISD 148905</v>
      </c>
      <c r="B278" t="s">
        <v>1687</v>
      </c>
      <c r="C278" s="1"/>
      <c r="D278" t="s">
        <v>1688</v>
      </c>
      <c r="E278" s="2" t="s">
        <v>356</v>
      </c>
      <c r="F278" s="137" t="s">
        <v>1689</v>
      </c>
      <c r="G278" s="137" t="s">
        <v>1690</v>
      </c>
      <c r="H278" s="137" t="s">
        <v>1691</v>
      </c>
      <c r="I278" s="113" t="s">
        <v>292</v>
      </c>
      <c r="J278" s="108" t="str">
        <f t="shared" si="4"/>
        <v>148905</v>
      </c>
    </row>
    <row r="279" spans="1:10" ht="15" customHeight="1" x14ac:dyDescent="0.25">
      <c r="A279" t="str">
        <f>Table1[[#This Row],[District name]]&amp;" "&amp;Table1[[#This Row],[District number]]</f>
        <v>DAWSON ISD 058902</v>
      </c>
      <c r="B279" t="s">
        <v>1692</v>
      </c>
      <c r="C279" s="1"/>
      <c r="D279" t="s">
        <v>1693</v>
      </c>
      <c r="E279" s="2" t="s">
        <v>308</v>
      </c>
      <c r="F279" s="137" t="s">
        <v>1694</v>
      </c>
      <c r="G279" s="137" t="s">
        <v>1695</v>
      </c>
      <c r="H279" s="137" t="s">
        <v>1696</v>
      </c>
      <c r="I279" s="113" t="s">
        <v>292</v>
      </c>
      <c r="J279" s="108" t="str">
        <f t="shared" si="4"/>
        <v>058902</v>
      </c>
    </row>
    <row r="280" spans="1:10" ht="15" customHeight="1" x14ac:dyDescent="0.25">
      <c r="A280" t="str">
        <f>Table1[[#This Row],[District name]]&amp;" "&amp;Table1[[#This Row],[District number]]</f>
        <v>DAWSON ISD 175904</v>
      </c>
      <c r="B280" t="s">
        <v>1697</v>
      </c>
      <c r="C280" s="1"/>
      <c r="D280" t="s">
        <v>1693</v>
      </c>
      <c r="E280" s="2" t="s">
        <v>301</v>
      </c>
      <c r="F280" s="137" t="s">
        <v>1698</v>
      </c>
      <c r="G280" s="137" t="s">
        <v>1699</v>
      </c>
      <c r="H280" s="137" t="s">
        <v>1700</v>
      </c>
      <c r="I280" s="113" t="s">
        <v>292</v>
      </c>
      <c r="J280" s="108" t="str">
        <f t="shared" si="4"/>
        <v>175904</v>
      </c>
    </row>
    <row r="281" spans="1:10" ht="15" customHeight="1" x14ac:dyDescent="0.25">
      <c r="A281" t="str">
        <f>Table1[[#This Row],[District name]]&amp;" "&amp;Table1[[#This Row],[District number]]</f>
        <v>DAYTON ISD 146902</v>
      </c>
      <c r="B281" t="s">
        <v>1701</v>
      </c>
      <c r="C281" s="1"/>
      <c r="D281" t="s">
        <v>1702</v>
      </c>
      <c r="E281" s="2" t="s">
        <v>295</v>
      </c>
      <c r="F281" s="137" t="s">
        <v>1703</v>
      </c>
      <c r="G281" s="137" t="s">
        <v>1704</v>
      </c>
      <c r="H281" s="137" t="s">
        <v>1705</v>
      </c>
      <c r="I281" s="113" t="s">
        <v>292</v>
      </c>
      <c r="J281" s="108" t="str">
        <f t="shared" si="4"/>
        <v>146902</v>
      </c>
    </row>
    <row r="282" spans="1:10" ht="15" customHeight="1" x14ac:dyDescent="0.25">
      <c r="A282" t="str">
        <f>Table1[[#This Row],[District name]]&amp;" "&amp;Table1[[#This Row],[District number]]</f>
        <v>DE LEON ISD 047902</v>
      </c>
      <c r="B282" t="s">
        <v>1706</v>
      </c>
      <c r="C282" s="1"/>
      <c r="D282" t="s">
        <v>1707</v>
      </c>
      <c r="E282" s="2" t="s">
        <v>314</v>
      </c>
      <c r="F282" s="137" t="s">
        <v>1708</v>
      </c>
      <c r="G282" s="137" t="s">
        <v>1709</v>
      </c>
      <c r="H282" s="137" t="s">
        <v>1710</v>
      </c>
      <c r="I282" s="113" t="s">
        <v>292</v>
      </c>
      <c r="J282" s="108" t="str">
        <f t="shared" si="4"/>
        <v>047902</v>
      </c>
    </row>
    <row r="283" spans="1:10" ht="15" customHeight="1" x14ac:dyDescent="0.25">
      <c r="A283" t="str">
        <f>Table1[[#This Row],[District name]]&amp;" "&amp;Table1[[#This Row],[District number]]</f>
        <v>DECATUR ISD 249905</v>
      </c>
      <c r="B283" t="s">
        <v>1711</v>
      </c>
      <c r="C283" s="1"/>
      <c r="D283" t="s">
        <v>1712</v>
      </c>
      <c r="E283" s="2" t="s">
        <v>402</v>
      </c>
      <c r="F283" s="137" t="s">
        <v>1713</v>
      </c>
      <c r="G283" s="137" t="s">
        <v>1714</v>
      </c>
      <c r="H283" s="137" t="s">
        <v>1715</v>
      </c>
      <c r="I283" s="113" t="s">
        <v>292</v>
      </c>
      <c r="J283" s="108" t="str">
        <f t="shared" si="4"/>
        <v>249905</v>
      </c>
    </row>
    <row r="284" spans="1:10" ht="15" customHeight="1" x14ac:dyDescent="0.25">
      <c r="A284" t="str">
        <f>Table1[[#This Row],[District name]]&amp;" "&amp;Table1[[#This Row],[District number]]</f>
        <v>DEER PARK ISD 101908</v>
      </c>
      <c r="B284" t="s">
        <v>1716</v>
      </c>
      <c r="C284" s="1"/>
      <c r="D284" t="s">
        <v>1717</v>
      </c>
      <c r="E284" s="2" t="s">
        <v>295</v>
      </c>
      <c r="F284" s="137" t="s">
        <v>1718</v>
      </c>
      <c r="G284" s="137" t="s">
        <v>1148</v>
      </c>
      <c r="H284" s="137" t="s">
        <v>1719</v>
      </c>
      <c r="I284" s="113" t="s">
        <v>292</v>
      </c>
      <c r="J284" s="108" t="str">
        <f t="shared" si="4"/>
        <v>101908</v>
      </c>
    </row>
    <row r="285" spans="1:10" ht="15" customHeight="1" x14ac:dyDescent="0.25">
      <c r="A285" t="str">
        <f>Table1[[#This Row],[District name]]&amp;" "&amp;Table1[[#This Row],[District number]]</f>
        <v>DEKALB ISD 019901</v>
      </c>
      <c r="B285" t="s">
        <v>1720</v>
      </c>
      <c r="C285" s="1"/>
      <c r="D285" t="s">
        <v>1721</v>
      </c>
      <c r="E285" s="2" t="s">
        <v>587</v>
      </c>
      <c r="F285" s="137" t="s">
        <v>1722</v>
      </c>
      <c r="G285" s="137" t="s">
        <v>1723</v>
      </c>
      <c r="H285" s="137" t="s">
        <v>1724</v>
      </c>
      <c r="I285" s="113" t="s">
        <v>292</v>
      </c>
      <c r="J285" s="108" t="str">
        <f t="shared" si="4"/>
        <v>019901</v>
      </c>
    </row>
    <row r="286" spans="1:10" ht="15" customHeight="1" x14ac:dyDescent="0.25">
      <c r="A286" t="str">
        <f>Table1[[#This Row],[District name]]&amp;" "&amp;Table1[[#This Row],[District number]]</f>
        <v>DEL VALLE ISD 227910</v>
      </c>
      <c r="B286" t="s">
        <v>1725</v>
      </c>
      <c r="C286" s="1"/>
      <c r="D286" t="s">
        <v>1726</v>
      </c>
      <c r="E286" s="2" t="s">
        <v>598</v>
      </c>
      <c r="F286" s="137" t="s">
        <v>1727</v>
      </c>
      <c r="G286" s="137" t="s">
        <v>1728</v>
      </c>
      <c r="H286" s="137" t="s">
        <v>1729</v>
      </c>
      <c r="I286" s="113" t="s">
        <v>292</v>
      </c>
      <c r="J286" s="108" t="str">
        <f t="shared" si="4"/>
        <v>227910</v>
      </c>
    </row>
    <row r="287" spans="1:10" ht="15" customHeight="1" x14ac:dyDescent="0.25">
      <c r="A287" t="str">
        <f>Table1[[#This Row],[District name]]&amp;" "&amp;Table1[[#This Row],[District number]]</f>
        <v>DELL CITY ISD 115903</v>
      </c>
      <c r="B287" t="s">
        <v>1730</v>
      </c>
      <c r="C287" s="1"/>
      <c r="D287" t="s">
        <v>1731</v>
      </c>
      <c r="E287" s="2" t="s">
        <v>507</v>
      </c>
      <c r="F287" s="137" t="s">
        <v>497</v>
      </c>
      <c r="G287" s="137" t="s">
        <v>1732</v>
      </c>
      <c r="H287" s="137" t="s">
        <v>1733</v>
      </c>
      <c r="I287" s="113" t="s">
        <v>292</v>
      </c>
      <c r="J287" s="108" t="str">
        <f t="shared" si="4"/>
        <v>115903</v>
      </c>
    </row>
    <row r="288" spans="1:10" ht="15" customHeight="1" x14ac:dyDescent="0.25">
      <c r="A288" t="str">
        <f>Table1[[#This Row],[District name]]&amp;" "&amp;Table1[[#This Row],[District number]]</f>
        <v>DENISON ISD 091903</v>
      </c>
      <c r="B288" t="s">
        <v>1734</v>
      </c>
      <c r="C288" s="1"/>
      <c r="D288" t="s">
        <v>1735</v>
      </c>
      <c r="E288" s="2" t="s">
        <v>288</v>
      </c>
      <c r="F288" s="137" t="s">
        <v>1736</v>
      </c>
      <c r="G288" s="137" t="s">
        <v>1737</v>
      </c>
      <c r="H288" s="137" t="s">
        <v>1738</v>
      </c>
      <c r="I288" s="113" t="s">
        <v>292</v>
      </c>
      <c r="J288" s="108" t="str">
        <f t="shared" si="4"/>
        <v>091903</v>
      </c>
    </row>
    <row r="289" spans="1:10" ht="15" customHeight="1" x14ac:dyDescent="0.25">
      <c r="A289" t="str">
        <f>Table1[[#This Row],[District name]]&amp;" "&amp;Table1[[#This Row],[District number]]</f>
        <v>DENTON ISD 061901</v>
      </c>
      <c r="B289" t="s">
        <v>1739</v>
      </c>
      <c r="C289" s="1"/>
      <c r="D289" t="s">
        <v>1740</v>
      </c>
      <c r="E289" s="2" t="s">
        <v>402</v>
      </c>
      <c r="F289" s="137" t="s">
        <v>1741</v>
      </c>
      <c r="G289" s="137" t="s">
        <v>1742</v>
      </c>
      <c r="H289" s="137" t="s">
        <v>1743</v>
      </c>
      <c r="I289" s="113" t="s">
        <v>292</v>
      </c>
      <c r="J289" s="108" t="str">
        <f t="shared" si="4"/>
        <v>061901</v>
      </c>
    </row>
    <row r="290" spans="1:10" ht="15" customHeight="1" x14ac:dyDescent="0.25">
      <c r="A290" t="str">
        <f>Table1[[#This Row],[District name]]&amp;" "&amp;Table1[[#This Row],[District number]]</f>
        <v>DENVER CITY ISD 251901</v>
      </c>
      <c r="B290" t="s">
        <v>1744</v>
      </c>
      <c r="C290" s="1"/>
      <c r="D290" t="s">
        <v>1745</v>
      </c>
      <c r="E290" s="2" t="s">
        <v>308</v>
      </c>
      <c r="F290" s="137" t="s">
        <v>1746</v>
      </c>
      <c r="G290" s="137" t="s">
        <v>1747</v>
      </c>
      <c r="H290" s="137" t="s">
        <v>1748</v>
      </c>
      <c r="I290" s="113" t="s">
        <v>292</v>
      </c>
      <c r="J290" s="108" t="str">
        <f t="shared" si="4"/>
        <v>251901</v>
      </c>
    </row>
    <row r="291" spans="1:10" ht="15" customHeight="1" x14ac:dyDescent="0.25">
      <c r="A291" t="str">
        <f>Table1[[#This Row],[District name]]&amp;" "&amp;Table1[[#This Row],[District number]]</f>
        <v>DESOTO ISD 057906</v>
      </c>
      <c r="B291" t="s">
        <v>1749</v>
      </c>
      <c r="C291" s="1"/>
      <c r="D291" t="s">
        <v>1750</v>
      </c>
      <c r="E291" s="2" t="s">
        <v>288</v>
      </c>
      <c r="F291" s="137" t="s">
        <v>1751</v>
      </c>
      <c r="G291" s="137" t="s">
        <v>1752</v>
      </c>
      <c r="H291" s="137" t="s">
        <v>1753</v>
      </c>
      <c r="I291" s="113" t="s">
        <v>292</v>
      </c>
      <c r="J291" s="108" t="str">
        <f t="shared" si="4"/>
        <v>057906</v>
      </c>
    </row>
    <row r="292" spans="1:10" ht="15" customHeight="1" x14ac:dyDescent="0.25">
      <c r="A292" t="str">
        <f>Table1[[#This Row],[District name]]&amp;" "&amp;Table1[[#This Row],[District number]]</f>
        <v>DETROIT ISD 194905</v>
      </c>
      <c r="B292" t="s">
        <v>1754</v>
      </c>
      <c r="C292" s="1"/>
      <c r="D292" t="s">
        <v>1755</v>
      </c>
      <c r="E292" s="2" t="s">
        <v>587</v>
      </c>
      <c r="F292" s="137" t="s">
        <v>916</v>
      </c>
      <c r="G292" s="137" t="s">
        <v>1756</v>
      </c>
      <c r="H292" s="137" t="s">
        <v>1757</v>
      </c>
      <c r="I292" s="113" t="s">
        <v>292</v>
      </c>
      <c r="J292" s="108" t="str">
        <f t="shared" si="4"/>
        <v>194905</v>
      </c>
    </row>
    <row r="293" spans="1:10" ht="15" customHeight="1" x14ac:dyDescent="0.25">
      <c r="A293" t="str">
        <f>Table1[[#This Row],[District name]]&amp;" "&amp;Table1[[#This Row],[District number]]</f>
        <v>DEVERS ISD 146903</v>
      </c>
      <c r="B293" t="s">
        <v>1758</v>
      </c>
      <c r="C293" s="1"/>
      <c r="D293" t="s">
        <v>1759</v>
      </c>
      <c r="E293" s="2" t="s">
        <v>295</v>
      </c>
      <c r="F293" s="137" t="s">
        <v>1760</v>
      </c>
      <c r="G293" s="137" t="s">
        <v>1761</v>
      </c>
      <c r="H293" s="137" t="s">
        <v>1762</v>
      </c>
      <c r="I293" s="113" t="s">
        <v>292</v>
      </c>
      <c r="J293" s="108" t="str">
        <f t="shared" si="4"/>
        <v>146903</v>
      </c>
    </row>
    <row r="294" spans="1:10" ht="15" customHeight="1" x14ac:dyDescent="0.25">
      <c r="A294" t="str">
        <f>Table1[[#This Row],[District name]]&amp;" "&amp;Table1[[#This Row],[District number]]</f>
        <v>DEVINE ISD 163901</v>
      </c>
      <c r="B294" t="s">
        <v>1763</v>
      </c>
      <c r="C294" s="1"/>
      <c r="D294" t="s">
        <v>1764</v>
      </c>
      <c r="E294" s="2" t="s">
        <v>376</v>
      </c>
      <c r="F294" s="137" t="s">
        <v>1765</v>
      </c>
      <c r="G294" s="137" t="s">
        <v>1766</v>
      </c>
      <c r="H294" s="137" t="s">
        <v>1767</v>
      </c>
      <c r="I294" s="113" t="s">
        <v>292</v>
      </c>
      <c r="J294" s="108" t="str">
        <f t="shared" si="4"/>
        <v>163901</v>
      </c>
    </row>
    <row r="295" spans="1:10" ht="15" customHeight="1" x14ac:dyDescent="0.25">
      <c r="A295" t="str">
        <f>Table1[[#This Row],[District name]]&amp;" "&amp;Table1[[#This Row],[District number]]</f>
        <v>DEW ISD 081906</v>
      </c>
      <c r="B295" t="s">
        <v>1768</v>
      </c>
      <c r="C295" s="1"/>
      <c r="D295" t="s">
        <v>1769</v>
      </c>
      <c r="E295" s="2" t="s">
        <v>301</v>
      </c>
      <c r="F295" s="137" t="s">
        <v>1770</v>
      </c>
      <c r="G295" s="137" t="s">
        <v>1771</v>
      </c>
      <c r="H295" s="137" t="s">
        <v>1772</v>
      </c>
      <c r="I295" s="113" t="s">
        <v>292</v>
      </c>
      <c r="J295" s="108" t="str">
        <f t="shared" si="4"/>
        <v>081906</v>
      </c>
    </row>
    <row r="296" spans="1:10" ht="15" customHeight="1" x14ac:dyDescent="0.25">
      <c r="A296" t="str">
        <f>Table1[[#This Row],[District name]]&amp;" "&amp;Table1[[#This Row],[District number]]</f>
        <v>DEWEYVILLE ISD 176903</v>
      </c>
      <c r="B296" t="s">
        <v>1773</v>
      </c>
      <c r="C296" s="1"/>
      <c r="D296" t="s">
        <v>1774</v>
      </c>
      <c r="E296" s="2" t="s">
        <v>706</v>
      </c>
      <c r="F296" s="137" t="s">
        <v>1775</v>
      </c>
      <c r="G296" s="137" t="s">
        <v>1776</v>
      </c>
      <c r="H296" s="137" t="s">
        <v>1777</v>
      </c>
      <c r="I296" s="113" t="s">
        <v>292</v>
      </c>
      <c r="J296" s="108" t="str">
        <f t="shared" si="4"/>
        <v>176903</v>
      </c>
    </row>
    <row r="297" spans="1:10" ht="15" customHeight="1" x14ac:dyDescent="0.25">
      <c r="A297" t="str">
        <f>Table1[[#This Row],[District name]]&amp;" "&amp;Table1[[#This Row],[District number]]</f>
        <v>D'HANIS ISD 163902</v>
      </c>
      <c r="B297" t="s">
        <v>1778</v>
      </c>
      <c r="C297" s="1"/>
      <c r="D297" t="s">
        <v>1779</v>
      </c>
      <c r="E297" s="2" t="s">
        <v>376</v>
      </c>
      <c r="F297" s="137" t="s">
        <v>1780</v>
      </c>
      <c r="G297" s="137" t="s">
        <v>1781</v>
      </c>
      <c r="H297" s="137" t="s">
        <v>1782</v>
      </c>
      <c r="I297" s="113" t="s">
        <v>292</v>
      </c>
      <c r="J297" s="108" t="str">
        <f t="shared" si="4"/>
        <v>163902</v>
      </c>
    </row>
    <row r="298" spans="1:10" ht="15" customHeight="1" x14ac:dyDescent="0.25">
      <c r="A298" t="str">
        <f>Table1[[#This Row],[District name]]&amp;" "&amp;Table1[[#This Row],[District number]]</f>
        <v>DIBOLL ISD 003905</v>
      </c>
      <c r="B298" t="s">
        <v>1783</v>
      </c>
      <c r="C298" s="1"/>
      <c r="D298" t="s">
        <v>1784</v>
      </c>
      <c r="E298" s="2" t="s">
        <v>383</v>
      </c>
      <c r="F298" s="137" t="s">
        <v>1785</v>
      </c>
      <c r="G298" s="137" t="s">
        <v>1786</v>
      </c>
      <c r="H298" s="137" t="s">
        <v>1787</v>
      </c>
      <c r="I298" s="113" t="s">
        <v>292</v>
      </c>
      <c r="J298" s="108" t="str">
        <f t="shared" si="4"/>
        <v>003905</v>
      </c>
    </row>
    <row r="299" spans="1:10" ht="15" customHeight="1" x14ac:dyDescent="0.25">
      <c r="A299" t="str">
        <f>Table1[[#This Row],[District name]]&amp;" "&amp;Table1[[#This Row],[District number]]</f>
        <v>DICKINSON ISD 084901</v>
      </c>
      <c r="B299" t="s">
        <v>1788</v>
      </c>
      <c r="C299" s="1"/>
      <c r="D299" t="s">
        <v>1789</v>
      </c>
      <c r="E299" s="2" t="s">
        <v>295</v>
      </c>
      <c r="F299" s="137" t="s">
        <v>1790</v>
      </c>
      <c r="G299" s="137" t="s">
        <v>1791</v>
      </c>
      <c r="H299" s="137" t="s">
        <v>1792</v>
      </c>
      <c r="I299" s="113" t="s">
        <v>292</v>
      </c>
      <c r="J299" s="108" t="str">
        <f t="shared" si="4"/>
        <v>084901</v>
      </c>
    </row>
    <row r="300" spans="1:10" ht="15" customHeight="1" x14ac:dyDescent="0.25">
      <c r="A300" t="str">
        <f>Table1[[#This Row],[District name]]&amp;" "&amp;Table1[[#This Row],[District number]]</f>
        <v>DILLEY ISD 082902</v>
      </c>
      <c r="B300" t="s">
        <v>1793</v>
      </c>
      <c r="C300" s="1"/>
      <c r="D300" t="s">
        <v>1794</v>
      </c>
      <c r="E300" s="2" t="s">
        <v>376</v>
      </c>
      <c r="F300" s="137" t="s">
        <v>1795</v>
      </c>
      <c r="G300" s="137" t="s">
        <v>1796</v>
      </c>
      <c r="H300" s="137" t="s">
        <v>1797</v>
      </c>
      <c r="I300" s="113" t="s">
        <v>292</v>
      </c>
      <c r="J300" s="108" t="str">
        <f t="shared" si="4"/>
        <v>082902</v>
      </c>
    </row>
    <row r="301" spans="1:10" ht="15" customHeight="1" x14ac:dyDescent="0.25">
      <c r="A301" t="str">
        <f>Table1[[#This Row],[District name]]&amp;" "&amp;Table1[[#This Row],[District number]]</f>
        <v>DIME BOX ISD 144903</v>
      </c>
      <c r="B301" t="s">
        <v>1798</v>
      </c>
      <c r="C301" s="1"/>
      <c r="D301" t="s">
        <v>1799</v>
      </c>
      <c r="E301" s="2" t="s">
        <v>598</v>
      </c>
      <c r="F301" s="137" t="s">
        <v>1800</v>
      </c>
      <c r="G301" s="137" t="s">
        <v>1801</v>
      </c>
      <c r="H301" s="137" t="s">
        <v>1802</v>
      </c>
      <c r="I301" s="113" t="s">
        <v>292</v>
      </c>
      <c r="J301" s="108" t="str">
        <f t="shared" si="4"/>
        <v>144903</v>
      </c>
    </row>
    <row r="302" spans="1:10" ht="15" customHeight="1" x14ac:dyDescent="0.25">
      <c r="A302" t="str">
        <f>Table1[[#This Row],[District name]]&amp;" "&amp;Table1[[#This Row],[District number]]</f>
        <v>DIMMITT ISD 035901</v>
      </c>
      <c r="B302" t="s">
        <v>1803</v>
      </c>
      <c r="C302" s="1"/>
      <c r="D302" t="s">
        <v>1804</v>
      </c>
      <c r="E302" s="2" t="s">
        <v>356</v>
      </c>
      <c r="F302" s="137" t="s">
        <v>1805</v>
      </c>
      <c r="G302" s="137" t="s">
        <v>1806</v>
      </c>
      <c r="H302" s="137" t="s">
        <v>1807</v>
      </c>
      <c r="I302" s="113" t="s">
        <v>292</v>
      </c>
      <c r="J302" s="108" t="str">
        <f t="shared" si="4"/>
        <v>035901</v>
      </c>
    </row>
    <row r="303" spans="1:10" ht="15" customHeight="1" x14ac:dyDescent="0.25">
      <c r="A303" t="str">
        <f>Table1[[#This Row],[District name]]&amp;" "&amp;Table1[[#This Row],[District number]]</f>
        <v>DIVIDE ISD 133905</v>
      </c>
      <c r="B303" t="s">
        <v>1808</v>
      </c>
      <c r="C303" s="1"/>
      <c r="D303" t="s">
        <v>1809</v>
      </c>
      <c r="E303" s="2" t="s">
        <v>376</v>
      </c>
      <c r="F303" s="137" t="s">
        <v>1810</v>
      </c>
      <c r="G303" s="137" t="s">
        <v>1811</v>
      </c>
      <c r="H303" s="137" t="s">
        <v>1812</v>
      </c>
      <c r="I303" s="113" t="s">
        <v>292</v>
      </c>
      <c r="J303" s="108" t="str">
        <f t="shared" si="4"/>
        <v>133905</v>
      </c>
    </row>
    <row r="304" spans="1:10" ht="15" customHeight="1" x14ac:dyDescent="0.25">
      <c r="A304" t="str">
        <f>Table1[[#This Row],[District name]]&amp;" "&amp;Table1[[#This Row],[District number]]</f>
        <v>DODD CITY ISD 074904</v>
      </c>
      <c r="B304" t="s">
        <v>1813</v>
      </c>
      <c r="C304" s="1"/>
      <c r="D304" t="s">
        <v>1814</v>
      </c>
      <c r="E304" s="2" t="s">
        <v>288</v>
      </c>
      <c r="F304" s="137" t="s">
        <v>1815</v>
      </c>
      <c r="G304" s="137" t="s">
        <v>1816</v>
      </c>
      <c r="H304" s="137" t="s">
        <v>1817</v>
      </c>
      <c r="I304" s="113" t="s">
        <v>292</v>
      </c>
      <c r="J304" s="108" t="str">
        <f t="shared" si="4"/>
        <v>074904</v>
      </c>
    </row>
    <row r="305" spans="1:10" ht="15" customHeight="1" x14ac:dyDescent="0.25">
      <c r="A305" t="str">
        <f>Table1[[#This Row],[District name]]&amp;" "&amp;Table1[[#This Row],[District number]]</f>
        <v>DONNA ISD 108902</v>
      </c>
      <c r="B305" t="s">
        <v>1818</v>
      </c>
      <c r="C305" s="1"/>
      <c r="D305" t="s">
        <v>1819</v>
      </c>
      <c r="E305" s="2" t="s">
        <v>982</v>
      </c>
      <c r="F305" s="137" t="s">
        <v>1820</v>
      </c>
      <c r="G305" s="137" t="s">
        <v>1821</v>
      </c>
      <c r="H305" s="137" t="s">
        <v>1822</v>
      </c>
      <c r="I305" s="113" t="s">
        <v>292</v>
      </c>
      <c r="J305" s="108" t="str">
        <f t="shared" si="4"/>
        <v>108902</v>
      </c>
    </row>
    <row r="306" spans="1:10" ht="15" customHeight="1" x14ac:dyDescent="0.25">
      <c r="A306" t="s">
        <v>1823</v>
      </c>
      <c r="B306" t="s">
        <v>1824</v>
      </c>
      <c r="C306" s="1"/>
      <c r="D306" t="s">
        <v>1823</v>
      </c>
      <c r="E306" s="2" t="s">
        <v>598</v>
      </c>
      <c r="F306" s="137" t="s">
        <v>1825</v>
      </c>
      <c r="G306" s="137" t="s">
        <v>1826</v>
      </c>
      <c r="H306" s="137" t="s">
        <v>1827</v>
      </c>
      <c r="I306" s="113" t="s">
        <v>292</v>
      </c>
      <c r="J306" s="108" t="str">
        <f>LEFT(B306,6)</f>
        <v>105804</v>
      </c>
    </row>
    <row r="307" spans="1:10" ht="15" customHeight="1" x14ac:dyDescent="0.25">
      <c r="A307" t="str">
        <f>Table1[[#This Row],[District name]]&amp;" "&amp;Table1[[#This Row],[District number]]</f>
        <v>DOSS CONSOLIDATED CSD 086024</v>
      </c>
      <c r="B307" t="s">
        <v>1828</v>
      </c>
      <c r="C307" s="1"/>
      <c r="D307" t="s">
        <v>1829</v>
      </c>
      <c r="E307" s="2" t="s">
        <v>598</v>
      </c>
      <c r="F307" s="137" t="s">
        <v>1830</v>
      </c>
      <c r="G307" s="137" t="s">
        <v>1831</v>
      </c>
      <c r="H307" s="137" t="s">
        <v>1832</v>
      </c>
      <c r="I307" s="113" t="s">
        <v>292</v>
      </c>
      <c r="J307" s="108" t="str">
        <f t="shared" si="4"/>
        <v>086024</v>
      </c>
    </row>
    <row r="308" spans="1:10" ht="15" customHeight="1" x14ac:dyDescent="0.25">
      <c r="A308" t="str">
        <f>Table1[[#This Row],[District name]]&amp;" "&amp;Table1[[#This Row],[District number]]</f>
        <v>DOUGLASS ISD 174911</v>
      </c>
      <c r="B308" t="s">
        <v>1833</v>
      </c>
      <c r="C308" s="1"/>
      <c r="D308" t="s">
        <v>1834</v>
      </c>
      <c r="E308" s="2" t="s">
        <v>383</v>
      </c>
      <c r="F308" s="137" t="s">
        <v>1835</v>
      </c>
      <c r="G308" s="137" t="s">
        <v>1836</v>
      </c>
      <c r="H308" s="137" t="s">
        <v>1837</v>
      </c>
      <c r="I308" s="113" t="s">
        <v>292</v>
      </c>
      <c r="J308" s="108" t="str">
        <f t="shared" si="4"/>
        <v>174911</v>
      </c>
    </row>
    <row r="309" spans="1:10" ht="15" customHeight="1" x14ac:dyDescent="0.25">
      <c r="A309" t="str">
        <f>Table1[[#This Row],[District name]]&amp;" "&amp;Table1[[#This Row],[District number]]</f>
        <v>DR M L GARZA-GONZALEZ CHARTER SCHOOL 178801</v>
      </c>
      <c r="B309" t="s">
        <v>1838</v>
      </c>
      <c r="C309" s="1"/>
      <c r="D309" t="s">
        <v>1839</v>
      </c>
      <c r="E309" s="2" t="s">
        <v>369</v>
      </c>
      <c r="F309" s="137" t="s">
        <v>1840</v>
      </c>
      <c r="G309" s="137" t="s">
        <v>1841</v>
      </c>
      <c r="H309" s="137" t="s">
        <v>1842</v>
      </c>
      <c r="I309" s="113" t="s">
        <v>292</v>
      </c>
      <c r="J309" s="108" t="str">
        <f t="shared" si="4"/>
        <v>178801</v>
      </c>
    </row>
    <row r="310" spans="1:10" ht="15" customHeight="1" x14ac:dyDescent="0.25">
      <c r="A310" t="str">
        <f>Table1[[#This Row],[District name]]&amp;" "&amp;Table1[[#This Row],[District number]]</f>
        <v>DRAW ACADEMY 101856</v>
      </c>
      <c r="B310" t="s">
        <v>1843</v>
      </c>
      <c r="C310" s="1"/>
      <c r="D310" t="s">
        <v>1844</v>
      </c>
      <c r="E310" s="2" t="s">
        <v>295</v>
      </c>
      <c r="F310" s="137" t="s">
        <v>1845</v>
      </c>
      <c r="G310" s="137" t="s">
        <v>1846</v>
      </c>
      <c r="H310" s="137" t="s">
        <v>1847</v>
      </c>
      <c r="I310" s="113" t="s">
        <v>292</v>
      </c>
      <c r="J310" s="108" t="str">
        <f t="shared" si="4"/>
        <v>101856</v>
      </c>
    </row>
    <row r="311" spans="1:10" ht="15" customHeight="1" x14ac:dyDescent="0.25">
      <c r="A311" t="str">
        <f>Table1[[#This Row],[District name]]&amp;" "&amp;Table1[[#This Row],[District number]]</f>
        <v>DRIPPING SPRINGS ISD 105904</v>
      </c>
      <c r="B311" t="s">
        <v>1848</v>
      </c>
      <c r="C311" s="1"/>
      <c r="D311" t="s">
        <v>1849</v>
      </c>
      <c r="E311" s="2" t="s">
        <v>598</v>
      </c>
      <c r="F311" s="137" t="s">
        <v>1850</v>
      </c>
      <c r="G311" s="137" t="s">
        <v>1851</v>
      </c>
      <c r="H311" s="137" t="s">
        <v>1852</v>
      </c>
      <c r="I311" s="113" t="s">
        <v>292</v>
      </c>
      <c r="J311" s="108" t="str">
        <f t="shared" si="4"/>
        <v>105904</v>
      </c>
    </row>
    <row r="312" spans="1:10" ht="15" customHeight="1" x14ac:dyDescent="0.25">
      <c r="A312" t="str">
        <f>Table1[[#This Row],[District name]]&amp;" "&amp;Table1[[#This Row],[District number]]</f>
        <v>DRISCOLL ISD 178905</v>
      </c>
      <c r="B312" t="s">
        <v>1853</v>
      </c>
      <c r="C312" s="1"/>
      <c r="D312" t="s">
        <v>1854</v>
      </c>
      <c r="E312" s="2" t="s">
        <v>369</v>
      </c>
      <c r="F312" s="137" t="s">
        <v>1855</v>
      </c>
      <c r="G312" s="137" t="s">
        <v>1856</v>
      </c>
      <c r="H312" s="137" t="s">
        <v>1857</v>
      </c>
      <c r="I312" s="113" t="s">
        <v>292</v>
      </c>
      <c r="J312" s="108" t="str">
        <f t="shared" si="4"/>
        <v>178905</v>
      </c>
    </row>
    <row r="313" spans="1:10" ht="15" customHeight="1" x14ac:dyDescent="0.25">
      <c r="A313" t="str">
        <f>Table1[[#This Row],[District name]]&amp;" "&amp;Table1[[#This Row],[District number]]</f>
        <v>DUBLIN ISD 072902</v>
      </c>
      <c r="B313" t="s">
        <v>1858</v>
      </c>
      <c r="C313" s="1"/>
      <c r="D313" t="s">
        <v>1859</v>
      </c>
      <c r="E313" s="2" t="s">
        <v>402</v>
      </c>
      <c r="F313" s="137" t="s">
        <v>1860</v>
      </c>
      <c r="G313" s="137" t="s">
        <v>1861</v>
      </c>
      <c r="H313" s="137" t="s">
        <v>1862</v>
      </c>
      <c r="I313" s="113" t="s">
        <v>292</v>
      </c>
      <c r="J313" s="108" t="str">
        <f t="shared" si="4"/>
        <v>072902</v>
      </c>
    </row>
    <row r="314" spans="1:10" ht="15" customHeight="1" x14ac:dyDescent="0.25">
      <c r="A314" t="str">
        <f>Table1[[#This Row],[District name]]&amp;" "&amp;Table1[[#This Row],[District number]]</f>
        <v>DUMAS ISD 171901</v>
      </c>
      <c r="B314" t="s">
        <v>1863</v>
      </c>
      <c r="C314" s="1"/>
      <c r="D314" t="s">
        <v>1864</v>
      </c>
      <c r="E314" s="2" t="s">
        <v>356</v>
      </c>
      <c r="F314" s="137" t="s">
        <v>1865</v>
      </c>
      <c r="G314" s="137" t="s">
        <v>1866</v>
      </c>
      <c r="H314" s="137" t="s">
        <v>1867</v>
      </c>
      <c r="I314" s="113" t="s">
        <v>292</v>
      </c>
      <c r="J314" s="108" t="str">
        <f t="shared" si="4"/>
        <v>171901</v>
      </c>
    </row>
    <row r="315" spans="1:10" ht="15" customHeight="1" x14ac:dyDescent="0.25">
      <c r="A315" t="str">
        <f>Table1[[#This Row],[District name]]&amp;" "&amp;Table1[[#This Row],[District number]]</f>
        <v>DUNCANVILLE ISD 057907</v>
      </c>
      <c r="B315" t="s">
        <v>1868</v>
      </c>
      <c r="C315" s="1"/>
      <c r="D315" t="s">
        <v>1869</v>
      </c>
      <c r="E315" s="2" t="s">
        <v>288</v>
      </c>
      <c r="F315" s="137" t="s">
        <v>1870</v>
      </c>
      <c r="G315" s="137" t="s">
        <v>1871</v>
      </c>
      <c r="H315" s="137" t="s">
        <v>1872</v>
      </c>
      <c r="I315" s="113" t="s">
        <v>292</v>
      </c>
      <c r="J315" s="108" t="str">
        <f t="shared" si="4"/>
        <v>057907</v>
      </c>
    </row>
    <row r="316" spans="1:10" ht="15" customHeight="1" x14ac:dyDescent="0.25">
      <c r="A316" t="str">
        <f>Table1[[#This Row],[District name]]&amp;" "&amp;Table1[[#This Row],[District number]]</f>
        <v>EAGLE MT-SAGINAW ISD 220918</v>
      </c>
      <c r="B316" t="s">
        <v>1873</v>
      </c>
      <c r="C316" s="1"/>
      <c r="D316" t="s">
        <v>1874</v>
      </c>
      <c r="E316" s="2" t="s">
        <v>402</v>
      </c>
      <c r="F316" s="137" t="s">
        <v>1875</v>
      </c>
      <c r="G316" s="137" t="s">
        <v>1876</v>
      </c>
      <c r="H316" s="137" t="s">
        <v>1877</v>
      </c>
      <c r="I316" s="113" t="s">
        <v>292</v>
      </c>
      <c r="J316" s="108" t="str">
        <f t="shared" si="4"/>
        <v>220918</v>
      </c>
    </row>
    <row r="317" spans="1:10" ht="15" customHeight="1" x14ac:dyDescent="0.25">
      <c r="A317" t="str">
        <f>Table1[[#This Row],[District name]]&amp;" "&amp;Table1[[#This Row],[District number]]</f>
        <v>EAGLE PASS ISD 159901</v>
      </c>
      <c r="B317" t="s">
        <v>1878</v>
      </c>
      <c r="C317" s="1"/>
      <c r="D317" t="s">
        <v>1879</v>
      </c>
      <c r="E317" s="2" t="s">
        <v>376</v>
      </c>
      <c r="F317" s="137" t="s">
        <v>1880</v>
      </c>
      <c r="G317" s="137" t="s">
        <v>1881</v>
      </c>
      <c r="H317" s="137" t="s">
        <v>1882</v>
      </c>
      <c r="I317" s="113" t="s">
        <v>292</v>
      </c>
      <c r="J317" s="108" t="str">
        <f t="shared" si="4"/>
        <v>159901</v>
      </c>
    </row>
    <row r="318" spans="1:10" ht="15" customHeight="1" x14ac:dyDescent="0.25">
      <c r="A318" t="str">
        <f>Table1[[#This Row],[District name]]&amp;" "&amp;Table1[[#This Row],[District number]]</f>
        <v>EANES ISD 227909</v>
      </c>
      <c r="B318" t="s">
        <v>1883</v>
      </c>
      <c r="C318" s="1"/>
      <c r="D318" t="s">
        <v>1884</v>
      </c>
      <c r="E318" s="2" t="s">
        <v>598</v>
      </c>
      <c r="F318" s="137" t="s">
        <v>1885</v>
      </c>
      <c r="G318" s="137" t="s">
        <v>1886</v>
      </c>
      <c r="H318" s="137" t="s">
        <v>1887</v>
      </c>
      <c r="I318" s="113" t="s">
        <v>292</v>
      </c>
      <c r="J318" s="108" t="str">
        <f t="shared" si="4"/>
        <v>227909</v>
      </c>
    </row>
    <row r="319" spans="1:10" ht="15" customHeight="1" x14ac:dyDescent="0.25">
      <c r="A319" t="str">
        <f>Table1[[#This Row],[District name]]&amp;" "&amp;Table1[[#This Row],[District number]]</f>
        <v>EARLY ISD 025909</v>
      </c>
      <c r="B319" t="s">
        <v>1888</v>
      </c>
      <c r="C319" s="1"/>
      <c r="D319" t="s">
        <v>1889</v>
      </c>
      <c r="E319" s="2" t="s">
        <v>650</v>
      </c>
      <c r="F319" s="137" t="s">
        <v>1890</v>
      </c>
      <c r="G319" s="137" t="s">
        <v>1891</v>
      </c>
      <c r="H319" s="137" t="s">
        <v>1892</v>
      </c>
      <c r="I319" s="113" t="s">
        <v>292</v>
      </c>
      <c r="J319" s="108" t="str">
        <f t="shared" si="4"/>
        <v>025909</v>
      </c>
    </row>
    <row r="320" spans="1:10" ht="15" customHeight="1" x14ac:dyDescent="0.25">
      <c r="A320" t="str">
        <f>Table1[[#This Row],[District name]]&amp;" "&amp;Table1[[#This Row],[District number]]</f>
        <v>EAST BERNARD ISD 241902</v>
      </c>
      <c r="B320" t="s">
        <v>1893</v>
      </c>
      <c r="C320" s="1"/>
      <c r="D320" t="s">
        <v>1894</v>
      </c>
      <c r="E320" s="2" t="s">
        <v>614</v>
      </c>
      <c r="F320" s="137" t="s">
        <v>1895</v>
      </c>
      <c r="G320" s="137" t="s">
        <v>1896</v>
      </c>
      <c r="H320" s="137" t="s">
        <v>1897</v>
      </c>
      <c r="I320" s="113" t="s">
        <v>292</v>
      </c>
      <c r="J320" s="108" t="str">
        <f t="shared" si="4"/>
        <v>241902</v>
      </c>
    </row>
    <row r="321" spans="1:10" ht="15" customHeight="1" x14ac:dyDescent="0.25">
      <c r="A321" t="str">
        <f>Table1[[#This Row],[District name]]&amp;" "&amp;Table1[[#This Row],[District number]]</f>
        <v>EAST CENTRAL ISD 015911</v>
      </c>
      <c r="B321" t="s">
        <v>1898</v>
      </c>
      <c r="C321" s="1"/>
      <c r="D321" t="s">
        <v>1899</v>
      </c>
      <c r="E321" s="2" t="s">
        <v>376</v>
      </c>
      <c r="F321" s="137" t="s">
        <v>1900</v>
      </c>
      <c r="G321" s="137" t="s">
        <v>1901</v>
      </c>
      <c r="H321" s="137" t="s">
        <v>1902</v>
      </c>
      <c r="I321" s="113" t="s">
        <v>292</v>
      </c>
      <c r="J321" s="108" t="str">
        <f t="shared" si="4"/>
        <v>015911</v>
      </c>
    </row>
    <row r="322" spans="1:10" ht="15" customHeight="1" x14ac:dyDescent="0.25">
      <c r="A322" t="str">
        <f>Table1[[#This Row],[District name]]&amp;" "&amp;Table1[[#This Row],[District number]]</f>
        <v>EAST CHAMBERS ISD 036903</v>
      </c>
      <c r="B322" t="s">
        <v>1903</v>
      </c>
      <c r="C322" s="1"/>
      <c r="D322" t="s">
        <v>1904</v>
      </c>
      <c r="E322" s="2" t="s">
        <v>295</v>
      </c>
      <c r="F322" s="137" t="s">
        <v>1905</v>
      </c>
      <c r="G322" s="137" t="s">
        <v>1906</v>
      </c>
      <c r="H322" s="137" t="s">
        <v>1907</v>
      </c>
      <c r="I322" s="113" t="s">
        <v>292</v>
      </c>
      <c r="J322" s="108" t="str">
        <f t="shared" si="4"/>
        <v>036903</v>
      </c>
    </row>
    <row r="323" spans="1:10" ht="15" customHeight="1" x14ac:dyDescent="0.25">
      <c r="A323" t="str">
        <f>Table1[[#This Row],[District name]]&amp;" "&amp;Table1[[#This Row],[District number]]</f>
        <v>EAST FORT WORTH MONTESSORI ACADEMY 220811</v>
      </c>
      <c r="B323" t="s">
        <v>1908</v>
      </c>
      <c r="C323" s="1"/>
      <c r="D323" t="s">
        <v>1909</v>
      </c>
      <c r="E323" s="2" t="s">
        <v>402</v>
      </c>
      <c r="F323" s="137" t="s">
        <v>1910</v>
      </c>
      <c r="G323" s="137" t="s">
        <v>1911</v>
      </c>
      <c r="H323" s="137" t="s">
        <v>1912</v>
      </c>
      <c r="I323" s="113" t="s">
        <v>292</v>
      </c>
      <c r="J323" s="108" t="str">
        <f t="shared" si="4"/>
        <v>220811</v>
      </c>
    </row>
    <row r="324" spans="1:10" ht="15" customHeight="1" x14ac:dyDescent="0.25">
      <c r="A324" t="str">
        <f>Table1[[#This Row],[District name]]&amp;" "&amp;Table1[[#This Row],[District number]]</f>
        <v>EAST TEXAS CHARTER SCHOOLS 092801</v>
      </c>
      <c r="B324" t="s">
        <v>1913</v>
      </c>
      <c r="C324" s="1"/>
      <c r="D324" t="s">
        <v>1914</v>
      </c>
      <c r="E324" s="2" t="s">
        <v>383</v>
      </c>
      <c r="F324" s="137" t="s">
        <v>1915</v>
      </c>
      <c r="G324" s="137" t="s">
        <v>1916</v>
      </c>
      <c r="H324" s="137" t="s">
        <v>1917</v>
      </c>
      <c r="I324" s="113" t="s">
        <v>292</v>
      </c>
      <c r="J324" s="108" t="str">
        <f t="shared" ref="J324:J388" si="5">LEFT(B324,6)</f>
        <v>092801</v>
      </c>
    </row>
    <row r="325" spans="1:10" ht="15" customHeight="1" x14ac:dyDescent="0.25">
      <c r="A325" t="str">
        <f>Table1[[#This Row],[District name]]&amp;" "&amp;Table1[[#This Row],[District number]]</f>
        <v>EASTLAND ISD 067903</v>
      </c>
      <c r="B325" t="s">
        <v>1918</v>
      </c>
      <c r="C325" s="1"/>
      <c r="D325" t="s">
        <v>1919</v>
      </c>
      <c r="E325" s="2" t="s">
        <v>314</v>
      </c>
      <c r="F325" s="137" t="s">
        <v>1920</v>
      </c>
      <c r="G325" s="137" t="s">
        <v>1921</v>
      </c>
      <c r="H325" s="137" t="s">
        <v>1922</v>
      </c>
      <c r="I325" s="113" t="s">
        <v>292</v>
      </c>
      <c r="J325" s="108" t="str">
        <f t="shared" si="5"/>
        <v>067903</v>
      </c>
    </row>
    <row r="326" spans="1:10" ht="15" customHeight="1" x14ac:dyDescent="0.25">
      <c r="A326" t="str">
        <f>Table1[[#This Row],[District name]]&amp;" "&amp;Table1[[#This Row],[District number]]</f>
        <v>ECTOR COUNTY ISD 068901</v>
      </c>
      <c r="B326" t="s">
        <v>1923</v>
      </c>
      <c r="C326" s="1"/>
      <c r="D326" t="s">
        <v>1924</v>
      </c>
      <c r="E326" s="2" t="s">
        <v>430</v>
      </c>
      <c r="F326" s="137" t="s">
        <v>1925</v>
      </c>
      <c r="G326" s="137" t="s">
        <v>1926</v>
      </c>
      <c r="H326" s="137" t="s">
        <v>1927</v>
      </c>
      <c r="I326" s="113" t="s">
        <v>292</v>
      </c>
      <c r="J326" s="108" t="str">
        <f t="shared" si="5"/>
        <v>068901</v>
      </c>
    </row>
    <row r="327" spans="1:10" ht="15" customHeight="1" x14ac:dyDescent="0.25">
      <c r="A327" t="str">
        <f>Table1[[#This Row],[District name]]&amp;" "&amp;Table1[[#This Row],[District number]]</f>
        <v>ECTOR ISD 074905</v>
      </c>
      <c r="B327" t="s">
        <v>1928</v>
      </c>
      <c r="C327" s="1"/>
      <c r="D327" t="s">
        <v>1929</v>
      </c>
      <c r="E327" s="2" t="s">
        <v>288</v>
      </c>
      <c r="F327" s="137" t="s">
        <v>1930</v>
      </c>
      <c r="G327" s="137" t="s">
        <v>1931</v>
      </c>
      <c r="H327" s="137" t="s">
        <v>1932</v>
      </c>
      <c r="I327" s="113" t="s">
        <v>292</v>
      </c>
      <c r="J327" s="108" t="str">
        <f t="shared" si="5"/>
        <v>074905</v>
      </c>
    </row>
    <row r="328" spans="1:10" ht="15" customHeight="1" x14ac:dyDescent="0.25">
      <c r="A328" t="str">
        <f>Table1[[#This Row],[District name]]&amp;" "&amp;Table1[[#This Row],[District number]]</f>
        <v>EDCOUCH-ELSA ISD 108903</v>
      </c>
      <c r="B328" t="s">
        <v>1933</v>
      </c>
      <c r="C328" s="1"/>
      <c r="D328" t="s">
        <v>1934</v>
      </c>
      <c r="E328" s="2" t="s">
        <v>982</v>
      </c>
      <c r="F328" s="137" t="s">
        <v>1935</v>
      </c>
      <c r="G328" s="137" t="s">
        <v>1936</v>
      </c>
      <c r="H328" s="137" t="s">
        <v>1937</v>
      </c>
      <c r="I328" s="113" t="s">
        <v>292</v>
      </c>
      <c r="J328" s="108" t="str">
        <f t="shared" si="5"/>
        <v>108903</v>
      </c>
    </row>
    <row r="329" spans="1:10" ht="15" customHeight="1" x14ac:dyDescent="0.25">
      <c r="A329" t="str">
        <f>Table1[[#This Row],[District name]]&amp;" "&amp;Table1[[#This Row],[District number]]</f>
        <v>EDEN CISD 048901</v>
      </c>
      <c r="B329" t="s">
        <v>1938</v>
      </c>
      <c r="C329" s="1"/>
      <c r="D329" t="s">
        <v>1939</v>
      </c>
      <c r="E329" s="2" t="s">
        <v>650</v>
      </c>
      <c r="F329" s="137" t="s">
        <v>1940</v>
      </c>
      <c r="G329" s="137" t="s">
        <v>1941</v>
      </c>
      <c r="H329" s="137" t="s">
        <v>1942</v>
      </c>
      <c r="I329" s="113" t="s">
        <v>292</v>
      </c>
      <c r="J329" s="108" t="str">
        <f t="shared" si="5"/>
        <v>048901</v>
      </c>
    </row>
    <row r="330" spans="1:10" ht="15" customHeight="1" x14ac:dyDescent="0.25">
      <c r="A330" t="str">
        <f>Table1[[#This Row],[District name]]&amp;" "&amp;Table1[[#This Row],[District number]]</f>
        <v>EDGEWOOD ISD 015905</v>
      </c>
      <c r="B330" t="s">
        <v>1943</v>
      </c>
      <c r="C330" s="1"/>
      <c r="D330" t="s">
        <v>1944</v>
      </c>
      <c r="E330" s="2" t="s">
        <v>376</v>
      </c>
      <c r="F330" s="137" t="s">
        <v>1641</v>
      </c>
      <c r="G330" s="137" t="s">
        <v>1642</v>
      </c>
      <c r="H330" s="137" t="s">
        <v>1643</v>
      </c>
      <c r="I330" s="113" t="s">
        <v>292</v>
      </c>
      <c r="J330" s="108" t="str">
        <f t="shared" si="5"/>
        <v>015905</v>
      </c>
    </row>
    <row r="331" spans="1:10" ht="15" customHeight="1" x14ac:dyDescent="0.25">
      <c r="A331" t="str">
        <f>Table1[[#This Row],[District name]]&amp;" "&amp;Table1[[#This Row],[District number]]</f>
        <v>EDGEWOOD ISD 234903</v>
      </c>
      <c r="B331" t="s">
        <v>1945</v>
      </c>
      <c r="C331" s="1"/>
      <c r="D331" t="s">
        <v>1944</v>
      </c>
      <c r="E331" s="2" t="s">
        <v>383</v>
      </c>
      <c r="F331" s="137" t="s">
        <v>1043</v>
      </c>
      <c r="G331" s="137" t="s">
        <v>1946</v>
      </c>
      <c r="H331" s="137" t="s">
        <v>1947</v>
      </c>
      <c r="I331" s="113" t="s">
        <v>292</v>
      </c>
      <c r="J331" s="108" t="str">
        <f t="shared" si="5"/>
        <v>234903</v>
      </c>
    </row>
    <row r="332" spans="1:10" ht="15" customHeight="1" x14ac:dyDescent="0.25">
      <c r="A332" t="str">
        <f>Table1[[#This Row],[District name]]&amp;" "&amp;Table1[[#This Row],[District number]]</f>
        <v>EDINBURG CISD 108904</v>
      </c>
      <c r="B332" t="s">
        <v>1948</v>
      </c>
      <c r="C332" s="1"/>
      <c r="D332" t="s">
        <v>1949</v>
      </c>
      <c r="E332" s="2" t="s">
        <v>982</v>
      </c>
      <c r="F332" s="137" t="s">
        <v>1950</v>
      </c>
      <c r="G332" s="137" t="s">
        <v>1951</v>
      </c>
      <c r="H332" s="137" t="s">
        <v>1952</v>
      </c>
      <c r="I332" s="113" t="s">
        <v>292</v>
      </c>
      <c r="J332" s="108" t="str">
        <f t="shared" si="5"/>
        <v>108904</v>
      </c>
    </row>
    <row r="333" spans="1:10" ht="15" customHeight="1" x14ac:dyDescent="0.25">
      <c r="A333" t="str">
        <f>Table1[[#This Row],[District name]]&amp;" "&amp;Table1[[#This Row],[District number]]</f>
        <v>EDNA ISD 120901</v>
      </c>
      <c r="B333" t="s">
        <v>1953</v>
      </c>
      <c r="C333" s="1"/>
      <c r="D333" t="s">
        <v>1954</v>
      </c>
      <c r="E333" s="2" t="s">
        <v>614</v>
      </c>
      <c r="F333" s="137" t="s">
        <v>1955</v>
      </c>
      <c r="G333" s="137" t="s">
        <v>1956</v>
      </c>
      <c r="H333" s="137" t="s">
        <v>1957</v>
      </c>
      <c r="I333" s="113" t="s">
        <v>292</v>
      </c>
      <c r="J333" s="108" t="str">
        <f t="shared" si="5"/>
        <v>120901</v>
      </c>
    </row>
    <row r="334" spans="1:10" ht="15" customHeight="1" x14ac:dyDescent="0.25">
      <c r="A334" t="str">
        <f>Table1[[#This Row],[District name]]&amp;" "&amp;Table1[[#This Row],[District number]]</f>
        <v>EDUCATION CENTER INTERNATIONAL ACADEMY 057833</v>
      </c>
      <c r="B334" t="s">
        <v>1958</v>
      </c>
      <c r="C334" s="1"/>
      <c r="D334" t="s">
        <v>1959</v>
      </c>
      <c r="E334" s="2" t="s">
        <v>288</v>
      </c>
      <c r="F334" s="137" t="s">
        <v>1960</v>
      </c>
      <c r="G334" s="137" t="s">
        <v>1961</v>
      </c>
      <c r="H334" s="137" t="s">
        <v>1962</v>
      </c>
      <c r="I334" s="113" t="s">
        <v>292</v>
      </c>
      <c r="J334" s="108" t="str">
        <f t="shared" si="5"/>
        <v>057833</v>
      </c>
    </row>
    <row r="335" spans="1:10" ht="15" customHeight="1" x14ac:dyDescent="0.25">
      <c r="A335" t="str">
        <f>Table1[[#This Row],[District name]]&amp;" "&amp;Table1[[#This Row],[District number]]</f>
        <v>EHRHART SCHOOL 123805</v>
      </c>
      <c r="B335" t="s">
        <v>1963</v>
      </c>
      <c r="C335" s="1"/>
      <c r="D335" t="s">
        <v>1964</v>
      </c>
      <c r="E335" s="2" t="s">
        <v>706</v>
      </c>
      <c r="F335" s="137" t="s">
        <v>816</v>
      </c>
      <c r="G335" s="137" t="s">
        <v>1965</v>
      </c>
      <c r="H335" s="137" t="s">
        <v>1966</v>
      </c>
      <c r="I335" s="113" t="s">
        <v>292</v>
      </c>
      <c r="J335" s="108" t="str">
        <f t="shared" si="5"/>
        <v>123805</v>
      </c>
    </row>
    <row r="336" spans="1:10" ht="15" customHeight="1" x14ac:dyDescent="0.25">
      <c r="A336" t="str">
        <f>Table1[[#This Row],[District name]]&amp;" "&amp;Table1[[#This Row],[District number]]</f>
        <v>EL CAMPO ISD 241903</v>
      </c>
      <c r="B336" t="s">
        <v>1967</v>
      </c>
      <c r="C336" s="1"/>
      <c r="D336" t="s">
        <v>1968</v>
      </c>
      <c r="E336" s="2" t="s">
        <v>614</v>
      </c>
      <c r="F336" s="137" t="s">
        <v>1969</v>
      </c>
      <c r="G336" s="137" t="s">
        <v>1970</v>
      </c>
      <c r="H336" s="137" t="s">
        <v>1971</v>
      </c>
      <c r="I336" s="113" t="s">
        <v>292</v>
      </c>
      <c r="J336" s="108" t="str">
        <f t="shared" si="5"/>
        <v>241903</v>
      </c>
    </row>
    <row r="337" spans="1:10" ht="15" customHeight="1" x14ac:dyDescent="0.25">
      <c r="A337" t="str">
        <f>Table1[[#This Row],[District name]]&amp;" "&amp;Table1[[#This Row],[District number]]</f>
        <v>EL PASO ACADEMY 071804</v>
      </c>
      <c r="B337" t="s">
        <v>1972</v>
      </c>
      <c r="C337" s="1"/>
      <c r="D337" t="s">
        <v>1973</v>
      </c>
      <c r="E337" s="2" t="s">
        <v>507</v>
      </c>
      <c r="F337" s="137" t="s">
        <v>1974</v>
      </c>
      <c r="G337" s="137" t="s">
        <v>1975</v>
      </c>
      <c r="H337" s="137" t="s">
        <v>1976</v>
      </c>
      <c r="I337" s="113" t="s">
        <v>292</v>
      </c>
      <c r="J337" s="108" t="str">
        <f t="shared" si="5"/>
        <v>071804</v>
      </c>
    </row>
    <row r="338" spans="1:10" ht="15" customHeight="1" x14ac:dyDescent="0.25">
      <c r="A338" t="str">
        <f>Table1[[#This Row],[District name]]&amp;" "&amp;Table1[[#This Row],[District number]]</f>
        <v>EL PASO ISD 071902</v>
      </c>
      <c r="B338" t="s">
        <v>1977</v>
      </c>
      <c r="C338" s="1"/>
      <c r="D338" t="s">
        <v>1978</v>
      </c>
      <c r="E338" s="2" t="s">
        <v>507</v>
      </c>
      <c r="F338" s="137" t="s">
        <v>1979</v>
      </c>
      <c r="G338" s="137" t="s">
        <v>1980</v>
      </c>
      <c r="H338" s="137" t="s">
        <v>1981</v>
      </c>
      <c r="I338" s="113" t="s">
        <v>292</v>
      </c>
      <c r="J338" s="108" t="str">
        <f t="shared" si="5"/>
        <v>071902</v>
      </c>
    </row>
    <row r="339" spans="1:10" ht="15" customHeight="1" x14ac:dyDescent="0.25">
      <c r="A339" t="str">
        <f>Table1[[#This Row],[District name]]&amp;" "&amp;Table1[[#This Row],[District number]]</f>
        <v>EL PASO LEADERSHIP ACADEMY 071810</v>
      </c>
      <c r="B339" t="s">
        <v>1982</v>
      </c>
      <c r="C339" s="1"/>
      <c r="D339" t="s">
        <v>1983</v>
      </c>
      <c r="E339" s="2" t="s">
        <v>507</v>
      </c>
      <c r="F339" s="137" t="s">
        <v>1984</v>
      </c>
      <c r="G339" s="137" t="s">
        <v>1985</v>
      </c>
      <c r="H339" s="137" t="s">
        <v>1986</v>
      </c>
      <c r="I339" s="113" t="s">
        <v>292</v>
      </c>
      <c r="J339" s="108" t="str">
        <f t="shared" si="5"/>
        <v>071810</v>
      </c>
    </row>
    <row r="340" spans="1:10" ht="15" customHeight="1" x14ac:dyDescent="0.25">
      <c r="A340" t="str">
        <f>Table1[[#This Row],[District name]]&amp;" "&amp;Table1[[#This Row],[District number]]</f>
        <v>ELEANOR KOLITZ HEBREW LANGUAGE ACADEMY 015836</v>
      </c>
      <c r="B340" t="s">
        <v>1987</v>
      </c>
      <c r="C340" s="1"/>
      <c r="D340" t="s">
        <v>1988</v>
      </c>
      <c r="E340" s="2" t="s">
        <v>376</v>
      </c>
      <c r="F340" s="137" t="s">
        <v>1989</v>
      </c>
      <c r="G340" s="137" t="s">
        <v>1990</v>
      </c>
      <c r="H340" s="137" t="s">
        <v>1991</v>
      </c>
      <c r="I340" s="113" t="s">
        <v>292</v>
      </c>
      <c r="J340" s="108" t="str">
        <f t="shared" si="5"/>
        <v>015836</v>
      </c>
    </row>
    <row r="341" spans="1:10" ht="15" customHeight="1" x14ac:dyDescent="0.25">
      <c r="A341" t="str">
        <f>Table1[[#This Row],[District name]]&amp;" "&amp;Table1[[#This Row],[District number]]</f>
        <v>ELECTRA ISD 243902</v>
      </c>
      <c r="B341" t="s">
        <v>1992</v>
      </c>
      <c r="C341" s="1"/>
      <c r="D341" t="s">
        <v>1993</v>
      </c>
      <c r="E341" s="2" t="s">
        <v>541</v>
      </c>
      <c r="F341" s="137" t="s">
        <v>1504</v>
      </c>
      <c r="G341" s="137" t="s">
        <v>1505</v>
      </c>
      <c r="H341" s="137" t="s">
        <v>1994</v>
      </c>
      <c r="I341" s="113" t="s">
        <v>292</v>
      </c>
      <c r="J341" s="108" t="str">
        <f t="shared" si="5"/>
        <v>243902</v>
      </c>
    </row>
    <row r="342" spans="1:10" ht="15" customHeight="1" x14ac:dyDescent="0.25">
      <c r="A342" t="str">
        <f>Table1[[#This Row],[District name]]&amp;" "&amp;Table1[[#This Row],[District number]]</f>
        <v>ELEVATE COLLEGIATE CHARTER SCHOOL 101877</v>
      </c>
      <c r="B342" t="s">
        <v>1995</v>
      </c>
      <c r="C342" s="1"/>
      <c r="D342" t="s">
        <v>1996</v>
      </c>
      <c r="E342" s="2" t="s">
        <v>295</v>
      </c>
      <c r="F342" s="137" t="s">
        <v>1997</v>
      </c>
      <c r="G342" s="137" t="s">
        <v>1998</v>
      </c>
      <c r="H342" s="137" t="s">
        <v>1999</v>
      </c>
      <c r="I342" s="113" t="s">
        <v>292</v>
      </c>
      <c r="J342" s="108" t="str">
        <f t="shared" si="5"/>
        <v>101877</v>
      </c>
    </row>
    <row r="343" spans="1:10" ht="15" customHeight="1" x14ac:dyDescent="0.25">
      <c r="A343" t="str">
        <f>Table1[[#This Row],[District name]]&amp;" "&amp;Table1[[#This Row],[District number]]</f>
        <v>ELGIN ISD 011902</v>
      </c>
      <c r="B343" t="s">
        <v>2000</v>
      </c>
      <c r="C343" s="1"/>
      <c r="D343" t="s">
        <v>2001</v>
      </c>
      <c r="E343" s="2" t="s">
        <v>598</v>
      </c>
      <c r="F343" s="137" t="s">
        <v>2002</v>
      </c>
      <c r="G343" s="137" t="s">
        <v>2003</v>
      </c>
      <c r="H343" s="137" t="s">
        <v>2004</v>
      </c>
      <c r="I343" s="113" t="s">
        <v>292</v>
      </c>
      <c r="J343" s="108" t="str">
        <f t="shared" si="5"/>
        <v>011902</v>
      </c>
    </row>
    <row r="344" spans="1:10" ht="15" customHeight="1" x14ac:dyDescent="0.25">
      <c r="A344" t="str">
        <f>Table1[[#This Row],[District name]]&amp;" "&amp;Table1[[#This Row],[District number]]</f>
        <v>ELKHART ISD 001903</v>
      </c>
      <c r="B344" t="s">
        <v>2005</v>
      </c>
      <c r="C344" s="1"/>
      <c r="D344" t="s">
        <v>2006</v>
      </c>
      <c r="E344" s="2" t="s">
        <v>383</v>
      </c>
      <c r="F344" s="137" t="s">
        <v>2007</v>
      </c>
      <c r="G344" s="137" t="s">
        <v>2008</v>
      </c>
      <c r="H344" s="137" t="s">
        <v>2009</v>
      </c>
      <c r="I344" s="113" t="s">
        <v>292</v>
      </c>
      <c r="J344" s="108" t="str">
        <f t="shared" si="5"/>
        <v>001903</v>
      </c>
    </row>
    <row r="345" spans="1:10" ht="15" customHeight="1" x14ac:dyDescent="0.25">
      <c r="A345" t="str">
        <f>Table1[[#This Row],[District name]]&amp;" "&amp;Table1[[#This Row],[District number]]</f>
        <v>ELYSIAN FIELDS ISD 102906</v>
      </c>
      <c r="B345" t="s">
        <v>2010</v>
      </c>
      <c r="C345" s="1"/>
      <c r="D345" t="s">
        <v>2011</v>
      </c>
      <c r="E345" s="2" t="s">
        <v>383</v>
      </c>
      <c r="F345" s="137" t="s">
        <v>2012</v>
      </c>
      <c r="G345" s="137" t="s">
        <v>2013</v>
      </c>
      <c r="H345" s="137" t="s">
        <v>2014</v>
      </c>
      <c r="I345" s="113" t="s">
        <v>292</v>
      </c>
      <c r="J345" s="108" t="str">
        <f t="shared" si="5"/>
        <v>102906</v>
      </c>
    </row>
    <row r="346" spans="1:10" ht="15" customHeight="1" x14ac:dyDescent="0.25">
      <c r="A346" t="str">
        <f>Table1[[#This Row],[District name]]&amp;" "&amp;Table1[[#This Row],[District number]]</f>
        <v>ENNIS ISD 070903</v>
      </c>
      <c r="B346" t="s">
        <v>2015</v>
      </c>
      <c r="C346" s="1"/>
      <c r="D346" t="s">
        <v>2016</v>
      </c>
      <c r="E346" s="2" t="s">
        <v>288</v>
      </c>
      <c r="F346" s="137" t="s">
        <v>2017</v>
      </c>
      <c r="G346" s="137" t="s">
        <v>2018</v>
      </c>
      <c r="H346" s="137" t="s">
        <v>2019</v>
      </c>
      <c r="I346" s="113" t="s">
        <v>292</v>
      </c>
      <c r="J346" s="108" t="str">
        <f t="shared" si="5"/>
        <v>070903</v>
      </c>
    </row>
    <row r="347" spans="1:10" ht="15" customHeight="1" x14ac:dyDescent="0.25">
      <c r="A347" t="str">
        <f>Table1[[#This Row],[District name]]&amp;" "&amp;Table1[[#This Row],[District number]]</f>
        <v>ERA ISD 049906</v>
      </c>
      <c r="B347" t="s">
        <v>2020</v>
      </c>
      <c r="C347" s="1"/>
      <c r="D347" t="s">
        <v>2021</v>
      </c>
      <c r="E347" s="2" t="s">
        <v>402</v>
      </c>
      <c r="F347" s="137" t="s">
        <v>2022</v>
      </c>
      <c r="G347" s="137" t="s">
        <v>2023</v>
      </c>
      <c r="H347" s="137" t="s">
        <v>2024</v>
      </c>
      <c r="I347" s="113" t="s">
        <v>292</v>
      </c>
      <c r="J347" s="108" t="str">
        <f t="shared" si="5"/>
        <v>049906</v>
      </c>
    </row>
    <row r="348" spans="1:10" ht="15" customHeight="1" x14ac:dyDescent="0.25">
      <c r="A348" t="str">
        <f>Table1[[#This Row],[District name]]&amp;" "&amp;Table1[[#This Row],[District number]]</f>
        <v>ERATH EXCELS ACADEMY INC 072802</v>
      </c>
      <c r="B348" t="s">
        <v>2025</v>
      </c>
      <c r="C348" s="1"/>
      <c r="D348" t="s">
        <v>2026</v>
      </c>
      <c r="E348" s="2" t="s">
        <v>402</v>
      </c>
      <c r="F348" s="137" t="s">
        <v>2027</v>
      </c>
      <c r="G348" s="137" t="s">
        <v>2028</v>
      </c>
      <c r="H348" s="137" t="s">
        <v>2029</v>
      </c>
      <c r="I348" s="113" t="s">
        <v>292</v>
      </c>
      <c r="J348" s="108" t="str">
        <f t="shared" si="5"/>
        <v>072802</v>
      </c>
    </row>
    <row r="349" spans="1:10" ht="15" customHeight="1" x14ac:dyDescent="0.25">
      <c r="A349" t="s">
        <v>2030</v>
      </c>
      <c r="B349" t="s">
        <v>2031</v>
      </c>
      <c r="C349" s="1"/>
      <c r="D349" t="s">
        <v>2030</v>
      </c>
      <c r="E349" s="2" t="s">
        <v>376</v>
      </c>
      <c r="F349" s="137" t="s">
        <v>2032</v>
      </c>
      <c r="G349" s="137" t="s">
        <v>2033</v>
      </c>
      <c r="H349" s="137" t="s">
        <v>2034</v>
      </c>
      <c r="I349" s="113" t="s">
        <v>292</v>
      </c>
      <c r="J349" s="108" t="str">
        <f>LEFT(B349,6)</f>
        <v>015844</v>
      </c>
    </row>
    <row r="350" spans="1:10" ht="15" customHeight="1" x14ac:dyDescent="0.25">
      <c r="A350" t="str">
        <f>Table1[[#This Row],[District name]]&amp;" "&amp;Table1[[#This Row],[District number]]</f>
        <v>ETOILE ACADEMY CHARTER SCHOOL 101872</v>
      </c>
      <c r="B350" t="s">
        <v>2035</v>
      </c>
      <c r="C350" s="1"/>
      <c r="D350" t="s">
        <v>2036</v>
      </c>
      <c r="E350" s="2" t="s">
        <v>295</v>
      </c>
      <c r="F350" s="137" t="s">
        <v>2037</v>
      </c>
      <c r="G350" s="137" t="s">
        <v>2038</v>
      </c>
      <c r="H350" s="137" t="s">
        <v>2039</v>
      </c>
      <c r="I350" s="113" t="s">
        <v>292</v>
      </c>
      <c r="J350" s="108" t="str">
        <f t="shared" si="5"/>
        <v>101872</v>
      </c>
    </row>
    <row r="351" spans="1:10" ht="15" customHeight="1" x14ac:dyDescent="0.25">
      <c r="A351" t="str">
        <f>Table1[[#This Row],[District name]]&amp;" "&amp;Table1[[#This Row],[District number]]</f>
        <v>ETOILE ISD 174910</v>
      </c>
      <c r="B351" t="s">
        <v>2040</v>
      </c>
      <c r="C351" s="1"/>
      <c r="D351" t="s">
        <v>2041</v>
      </c>
      <c r="E351" s="2" t="s">
        <v>2042</v>
      </c>
      <c r="F351" s="137" t="s">
        <v>2042</v>
      </c>
      <c r="G351" s="137" t="s">
        <v>2042</v>
      </c>
      <c r="H351" s="137" t="s">
        <v>2042</v>
      </c>
      <c r="I351" s="113" t="s">
        <v>292</v>
      </c>
      <c r="J351" s="108" t="str">
        <f t="shared" si="5"/>
        <v>174910</v>
      </c>
    </row>
    <row r="352" spans="1:10" ht="15" customHeight="1" x14ac:dyDescent="0.25">
      <c r="A352" t="str">
        <f>Table1[[#This Row],[District name]]&amp;" "&amp;Table1[[#This Row],[District number]]</f>
        <v>EULA ISD 030906</v>
      </c>
      <c r="B352" t="s">
        <v>2043</v>
      </c>
      <c r="C352" s="1"/>
      <c r="D352" t="s">
        <v>2044</v>
      </c>
      <c r="E352" s="2" t="s">
        <v>314</v>
      </c>
      <c r="F352" s="137" t="s">
        <v>2045</v>
      </c>
      <c r="G352" s="137" t="s">
        <v>2046</v>
      </c>
      <c r="H352" s="137" t="s">
        <v>2047</v>
      </c>
      <c r="I352" s="113" t="s">
        <v>292</v>
      </c>
      <c r="J352" s="108" t="str">
        <f t="shared" si="5"/>
        <v>030906</v>
      </c>
    </row>
    <row r="353" spans="1:10" ht="15" customHeight="1" x14ac:dyDescent="0.25">
      <c r="A353" t="str">
        <f>Table1[[#This Row],[District name]]&amp;" "&amp;Table1[[#This Row],[District number]]</f>
        <v>EUSTACE ISD 107905</v>
      </c>
      <c r="B353" t="s">
        <v>2048</v>
      </c>
      <c r="C353" s="1"/>
      <c r="D353" t="s">
        <v>2049</v>
      </c>
      <c r="E353" s="2" t="s">
        <v>383</v>
      </c>
      <c r="F353" s="137" t="s">
        <v>2050</v>
      </c>
      <c r="G353" s="137" t="s">
        <v>2051</v>
      </c>
      <c r="H353" s="137" t="s">
        <v>2052</v>
      </c>
      <c r="I353" s="113" t="s">
        <v>292</v>
      </c>
      <c r="J353" s="108" t="str">
        <f t="shared" si="5"/>
        <v>107905</v>
      </c>
    </row>
    <row r="354" spans="1:10" ht="15" customHeight="1" x14ac:dyDescent="0.25">
      <c r="A354" t="str">
        <f>Table1[[#This Row],[District name]]&amp;" "&amp;Table1[[#This Row],[District number]]</f>
        <v>EVADALE ISD 121906</v>
      </c>
      <c r="B354" t="s">
        <v>2053</v>
      </c>
      <c r="C354" s="1"/>
      <c r="D354" t="s">
        <v>2054</v>
      </c>
      <c r="E354" s="2" t="s">
        <v>706</v>
      </c>
      <c r="F354" s="137" t="s">
        <v>1419</v>
      </c>
      <c r="G354" s="137" t="s">
        <v>2055</v>
      </c>
      <c r="H354" s="137" t="s">
        <v>2056</v>
      </c>
      <c r="I354" s="113" t="s">
        <v>292</v>
      </c>
      <c r="J354" s="108" t="str">
        <f t="shared" si="5"/>
        <v>121906</v>
      </c>
    </row>
    <row r="355" spans="1:10" ht="15" customHeight="1" x14ac:dyDescent="0.25">
      <c r="A355" t="str">
        <f>Table1[[#This Row],[District name]]&amp;" "&amp;Table1[[#This Row],[District number]]</f>
        <v>EVANT ISD 050901</v>
      </c>
      <c r="B355" t="s">
        <v>2057</v>
      </c>
      <c r="C355" s="1"/>
      <c r="D355" t="s">
        <v>2058</v>
      </c>
      <c r="E355" s="2" t="s">
        <v>301</v>
      </c>
      <c r="F355" s="137" t="s">
        <v>2059</v>
      </c>
      <c r="G355" s="137" t="s">
        <v>2060</v>
      </c>
      <c r="H355" s="137" t="s">
        <v>2061</v>
      </c>
      <c r="I355" s="113" t="s">
        <v>292</v>
      </c>
      <c r="J355" s="108" t="str">
        <f t="shared" si="5"/>
        <v>050901</v>
      </c>
    </row>
    <row r="356" spans="1:10" ht="15" customHeight="1" x14ac:dyDescent="0.25">
      <c r="A356" t="str">
        <f>Table1[[#This Row],[District name]]&amp;" "&amp;Table1[[#This Row],[District number]]</f>
        <v>EVERMAN ISD 220904</v>
      </c>
      <c r="B356" t="s">
        <v>2062</v>
      </c>
      <c r="C356" s="1"/>
      <c r="D356" t="s">
        <v>2063</v>
      </c>
      <c r="E356" s="2" t="s">
        <v>402</v>
      </c>
      <c r="F356" s="137" t="s">
        <v>2064</v>
      </c>
      <c r="G356" s="137" t="s">
        <v>2065</v>
      </c>
      <c r="H356" s="137" t="s">
        <v>2066</v>
      </c>
      <c r="I356" s="113" t="s">
        <v>292</v>
      </c>
      <c r="J356" s="108" t="str">
        <f t="shared" si="5"/>
        <v>220904</v>
      </c>
    </row>
    <row r="357" spans="1:10" ht="15" customHeight="1" x14ac:dyDescent="0.25">
      <c r="A357" t="str">
        <f>Table1[[#This Row],[District name]]&amp;" "&amp;Table1[[#This Row],[District number]]</f>
        <v>EVOLUTION ACADEMY CHARTER SCHOOL 057834</v>
      </c>
      <c r="B357" t="s">
        <v>2067</v>
      </c>
      <c r="C357" s="1"/>
      <c r="D357" t="s">
        <v>2068</v>
      </c>
      <c r="E357" s="2" t="s">
        <v>288</v>
      </c>
      <c r="F357" s="137" t="s">
        <v>2069</v>
      </c>
      <c r="G357" s="137" t="s">
        <v>2070</v>
      </c>
      <c r="H357" s="137" t="s">
        <v>2071</v>
      </c>
      <c r="I357" s="113" t="s">
        <v>292</v>
      </c>
      <c r="J357" s="108" t="str">
        <f t="shared" si="5"/>
        <v>057834</v>
      </c>
    </row>
    <row r="358" spans="1:10" ht="15" customHeight="1" x14ac:dyDescent="0.25">
      <c r="A358" t="str">
        <f>Table1[[#This Row],[District name]]&amp;" "&amp;Table1[[#This Row],[District number]]</f>
        <v>EXCEL ACADEMY 101811</v>
      </c>
      <c r="B358" t="s">
        <v>2072</v>
      </c>
      <c r="C358" s="1"/>
      <c r="D358" t="s">
        <v>2073</v>
      </c>
      <c r="E358" s="2" t="s">
        <v>295</v>
      </c>
      <c r="F358" s="137" t="s">
        <v>2074</v>
      </c>
      <c r="G358" s="137" t="s">
        <v>2075</v>
      </c>
      <c r="H358" s="137" t="s">
        <v>2076</v>
      </c>
      <c r="I358" s="113" t="s">
        <v>292</v>
      </c>
      <c r="J358" s="108" t="str">
        <f t="shared" si="5"/>
        <v>101811</v>
      </c>
    </row>
    <row r="359" spans="1:10" ht="15" customHeight="1" x14ac:dyDescent="0.25">
      <c r="A359" t="str">
        <f>Table1[[#This Row],[District name]]&amp;" "&amp;Table1[[#This Row],[District number]]</f>
        <v>EXCELLENCE IN LEADERSHIP ACADEMY 108809</v>
      </c>
      <c r="B359" t="s">
        <v>2077</v>
      </c>
      <c r="C359" s="1"/>
      <c r="D359" t="s">
        <v>2078</v>
      </c>
      <c r="E359" s="2" t="s">
        <v>982</v>
      </c>
      <c r="F359" s="137" t="s">
        <v>2079</v>
      </c>
      <c r="G359" s="137" t="s">
        <v>2080</v>
      </c>
      <c r="H359" s="137" t="s">
        <v>2081</v>
      </c>
      <c r="I359" s="113" t="s">
        <v>292</v>
      </c>
      <c r="J359" s="108" t="str">
        <f t="shared" si="5"/>
        <v>108809</v>
      </c>
    </row>
    <row r="360" spans="1:10" ht="15" customHeight="1" x14ac:dyDescent="0.25">
      <c r="A360" t="str">
        <f>Table1[[#This Row],[District name]]&amp;" "&amp;Table1[[#This Row],[District number]]</f>
        <v>EXCELSIOR ISD 210906</v>
      </c>
      <c r="B360" t="s">
        <v>2082</v>
      </c>
      <c r="C360" s="1"/>
      <c r="D360" t="s">
        <v>2083</v>
      </c>
      <c r="E360" s="2" t="s">
        <v>383</v>
      </c>
      <c r="F360" s="137" t="s">
        <v>2084</v>
      </c>
      <c r="G360" s="137" t="s">
        <v>2085</v>
      </c>
      <c r="H360" s="137" t="s">
        <v>2086</v>
      </c>
      <c r="I360" s="113" t="s">
        <v>292</v>
      </c>
      <c r="J360" s="108" t="str">
        <f t="shared" si="5"/>
        <v>210906</v>
      </c>
    </row>
    <row r="361" spans="1:10" ht="15" customHeight="1" x14ac:dyDescent="0.25">
      <c r="A361" t="str">
        <f>Table1[[#This Row],[District name]]&amp;" "&amp;Table1[[#This Row],[District number]]</f>
        <v>EZZELL ISD 143906</v>
      </c>
      <c r="B361" t="s">
        <v>2087</v>
      </c>
      <c r="C361" s="1"/>
      <c r="D361" t="s">
        <v>2088</v>
      </c>
      <c r="E361" s="2" t="s">
        <v>614</v>
      </c>
      <c r="F361" s="137" t="s">
        <v>2089</v>
      </c>
      <c r="G361" s="137" t="s">
        <v>2090</v>
      </c>
      <c r="H361" s="137" t="s">
        <v>2091</v>
      </c>
      <c r="I361" s="113" t="s">
        <v>292</v>
      </c>
      <c r="J361" s="108" t="str">
        <f t="shared" si="5"/>
        <v>143906</v>
      </c>
    </row>
    <row r="362" spans="1:10" ht="15" customHeight="1" x14ac:dyDescent="0.25">
      <c r="A362" t="str">
        <f>Table1[[#This Row],[District name]]&amp;" "&amp;Table1[[#This Row],[District number]]</f>
        <v>FABENS ISD 071903</v>
      </c>
      <c r="B362" t="s">
        <v>2092</v>
      </c>
      <c r="C362" s="1"/>
      <c r="D362" t="s">
        <v>2093</v>
      </c>
      <c r="E362" s="2" t="s">
        <v>507</v>
      </c>
      <c r="F362" s="137" t="s">
        <v>1641</v>
      </c>
      <c r="G362" s="137" t="s">
        <v>2094</v>
      </c>
      <c r="H362" s="137" t="s">
        <v>1643</v>
      </c>
      <c r="I362" s="113" t="s">
        <v>292</v>
      </c>
      <c r="J362" s="108" t="str">
        <f t="shared" si="5"/>
        <v>071903</v>
      </c>
    </row>
    <row r="363" spans="1:10" ht="15" customHeight="1" x14ac:dyDescent="0.25">
      <c r="A363" t="str">
        <f>Table1[[#This Row],[District name]]&amp;" "&amp;Table1[[#This Row],[District number]]</f>
        <v>FAIRFIELD ISD 081902</v>
      </c>
      <c r="B363" t="s">
        <v>2095</v>
      </c>
      <c r="C363" s="1"/>
      <c r="D363" t="s">
        <v>2096</v>
      </c>
      <c r="E363" s="2" t="s">
        <v>301</v>
      </c>
      <c r="F363" s="137" t="s">
        <v>796</v>
      </c>
      <c r="G363" s="137" t="s">
        <v>2097</v>
      </c>
      <c r="H363" s="137" t="s">
        <v>2098</v>
      </c>
      <c r="I363" s="113" t="s">
        <v>292</v>
      </c>
      <c r="J363" s="108" t="str">
        <f t="shared" si="5"/>
        <v>081902</v>
      </c>
    </row>
    <row r="364" spans="1:10" ht="15" customHeight="1" x14ac:dyDescent="0.25">
      <c r="A364" t="str">
        <f>Table1[[#This Row],[District name]]&amp;" "&amp;Table1[[#This Row],[District number]]</f>
        <v>FALLS CITY ISD 128904</v>
      </c>
      <c r="B364" t="s">
        <v>2099</v>
      </c>
      <c r="C364" s="1"/>
      <c r="D364" t="s">
        <v>2100</v>
      </c>
      <c r="E364" s="2" t="s">
        <v>614</v>
      </c>
      <c r="F364" s="137" t="s">
        <v>2101</v>
      </c>
      <c r="G364" s="137" t="s">
        <v>2102</v>
      </c>
      <c r="H364" s="137" t="s">
        <v>2103</v>
      </c>
      <c r="I364" s="113" t="s">
        <v>292</v>
      </c>
      <c r="J364" s="108" t="str">
        <f t="shared" si="5"/>
        <v>128904</v>
      </c>
    </row>
    <row r="365" spans="1:10" ht="15" customHeight="1" x14ac:dyDescent="0.25">
      <c r="A365" t="str">
        <f>Table1[[#This Row],[District name]]&amp;" "&amp;Table1[[#This Row],[District number]]</f>
        <v>FANNINDEL ISD 060914</v>
      </c>
      <c r="B365" t="s">
        <v>2104</v>
      </c>
      <c r="C365" s="1"/>
      <c r="D365" t="s">
        <v>2105</v>
      </c>
      <c r="E365" s="2" t="s">
        <v>587</v>
      </c>
      <c r="F365" s="137" t="s">
        <v>2106</v>
      </c>
      <c r="G365" s="137" t="s">
        <v>2107</v>
      </c>
      <c r="H365" s="137" t="s">
        <v>2108</v>
      </c>
      <c r="I365" s="113" t="s">
        <v>292</v>
      </c>
      <c r="J365" s="108" t="str">
        <f t="shared" si="5"/>
        <v>060914</v>
      </c>
    </row>
    <row r="366" spans="1:10" ht="15" customHeight="1" x14ac:dyDescent="0.25">
      <c r="A366" t="str">
        <f>Table1[[#This Row],[District name]]&amp;" "&amp;Table1[[#This Row],[District number]]</f>
        <v>FARMERSVILLE ISD 043904</v>
      </c>
      <c r="B366" t="s">
        <v>2109</v>
      </c>
      <c r="C366" s="1"/>
      <c r="D366" t="s">
        <v>2110</v>
      </c>
      <c r="E366" s="2" t="s">
        <v>288</v>
      </c>
      <c r="F366" s="137" t="s">
        <v>2111</v>
      </c>
      <c r="G366" s="137" t="s">
        <v>2112</v>
      </c>
      <c r="H366" s="137" t="s">
        <v>2113</v>
      </c>
      <c r="I366" s="113" t="s">
        <v>292</v>
      </c>
      <c r="J366" s="108" t="str">
        <f t="shared" si="5"/>
        <v>043904</v>
      </c>
    </row>
    <row r="367" spans="1:10" ht="15" customHeight="1" x14ac:dyDescent="0.25">
      <c r="A367" t="str">
        <f>Table1[[#This Row],[District name]]&amp;" "&amp;Table1[[#This Row],[District number]]</f>
        <v>FARWELL ISD 185902</v>
      </c>
      <c r="B367" t="s">
        <v>2114</v>
      </c>
      <c r="C367" s="1"/>
      <c r="D367" t="s">
        <v>2115</v>
      </c>
      <c r="E367" s="2" t="s">
        <v>356</v>
      </c>
      <c r="F367" s="137" t="s">
        <v>553</v>
      </c>
      <c r="G367" s="137" t="s">
        <v>2116</v>
      </c>
      <c r="H367" s="137" t="s">
        <v>2117</v>
      </c>
      <c r="I367" s="113" t="s">
        <v>292</v>
      </c>
      <c r="J367" s="108" t="str">
        <f t="shared" si="5"/>
        <v>185902</v>
      </c>
    </row>
    <row r="368" spans="1:10" ht="15" customHeight="1" x14ac:dyDescent="0.25">
      <c r="A368" t="str">
        <f>Table1[[#This Row],[District name]]&amp;" "&amp;Table1[[#This Row],[District number]]</f>
        <v>FAYETTEVILLE ISD 075906</v>
      </c>
      <c r="B368" t="s">
        <v>2118</v>
      </c>
      <c r="C368" s="1"/>
      <c r="D368" t="s">
        <v>2119</v>
      </c>
      <c r="E368" s="2" t="s">
        <v>598</v>
      </c>
      <c r="F368" s="137" t="s">
        <v>2120</v>
      </c>
      <c r="G368" s="137" t="s">
        <v>2121</v>
      </c>
      <c r="H368" s="137" t="s">
        <v>2122</v>
      </c>
      <c r="I368" s="113" t="s">
        <v>292</v>
      </c>
      <c r="J368" s="108" t="str">
        <f t="shared" si="5"/>
        <v>075906</v>
      </c>
    </row>
    <row r="369" spans="1:10" ht="15" customHeight="1" x14ac:dyDescent="0.25">
      <c r="A369" t="str">
        <f>Table1[[#This Row],[District name]]&amp;" "&amp;Table1[[#This Row],[District number]]</f>
        <v>FERRIS ISD 070905</v>
      </c>
      <c r="B369" t="s">
        <v>2123</v>
      </c>
      <c r="C369" s="1"/>
      <c r="D369" t="s">
        <v>2124</v>
      </c>
      <c r="E369" s="2" t="s">
        <v>288</v>
      </c>
      <c r="F369" s="137" t="s">
        <v>2125</v>
      </c>
      <c r="G369" s="137" t="s">
        <v>2126</v>
      </c>
      <c r="H369" s="137" t="s">
        <v>2127</v>
      </c>
      <c r="I369" s="113" t="s">
        <v>292</v>
      </c>
      <c r="J369" s="108" t="str">
        <f t="shared" si="5"/>
        <v>070905</v>
      </c>
    </row>
    <row r="370" spans="1:10" ht="15" customHeight="1" x14ac:dyDescent="0.25">
      <c r="A370" t="str">
        <f>Table1[[#This Row],[District name]]&amp;" "&amp;Table1[[#This Row],[District number]]</f>
        <v>FLATONIA ISD 075901</v>
      </c>
      <c r="B370" t="s">
        <v>2128</v>
      </c>
      <c r="C370" s="1"/>
      <c r="D370" t="s">
        <v>2129</v>
      </c>
      <c r="E370" s="2" t="s">
        <v>598</v>
      </c>
      <c r="F370" s="137" t="s">
        <v>2130</v>
      </c>
      <c r="G370" s="137" t="s">
        <v>2131</v>
      </c>
      <c r="H370" s="137" t="s">
        <v>2132</v>
      </c>
      <c r="I370" s="113" t="s">
        <v>292</v>
      </c>
      <c r="J370" s="108" t="str">
        <f t="shared" si="5"/>
        <v>075901</v>
      </c>
    </row>
    <row r="371" spans="1:10" ht="15" customHeight="1" x14ac:dyDescent="0.25">
      <c r="A371" t="str">
        <f>Table1[[#This Row],[District name]]&amp;" "&amp;Table1[[#This Row],[District number]]</f>
        <v>FLORENCE ISD 246902</v>
      </c>
      <c r="B371" t="s">
        <v>2133</v>
      </c>
      <c r="C371" s="1"/>
      <c r="D371" t="s">
        <v>2134</v>
      </c>
      <c r="E371" s="2" t="s">
        <v>598</v>
      </c>
      <c r="F371" s="137" t="s">
        <v>2135</v>
      </c>
      <c r="G371" s="137" t="s">
        <v>2136</v>
      </c>
      <c r="H371" s="137" t="s">
        <v>2137</v>
      </c>
      <c r="I371" s="113" t="s">
        <v>292</v>
      </c>
      <c r="J371" s="108" t="str">
        <f t="shared" si="5"/>
        <v>246902</v>
      </c>
    </row>
    <row r="372" spans="1:10" ht="15" customHeight="1" x14ac:dyDescent="0.25">
      <c r="A372" t="str">
        <f>Table1[[#This Row],[District name]]&amp;" "&amp;Table1[[#This Row],[District number]]</f>
        <v>FLORESVILLE ISD 247901</v>
      </c>
      <c r="B372" t="s">
        <v>2138</v>
      </c>
      <c r="C372" s="1"/>
      <c r="D372" t="s">
        <v>2139</v>
      </c>
      <c r="E372" s="2" t="s">
        <v>376</v>
      </c>
      <c r="F372" s="137" t="s">
        <v>2140</v>
      </c>
      <c r="G372" s="137" t="s">
        <v>2141</v>
      </c>
      <c r="H372" s="137" t="s">
        <v>2142</v>
      </c>
      <c r="I372" s="113" t="s">
        <v>292</v>
      </c>
      <c r="J372" s="108" t="str">
        <f t="shared" si="5"/>
        <v>247901</v>
      </c>
    </row>
    <row r="373" spans="1:10" ht="15" customHeight="1" x14ac:dyDescent="0.25">
      <c r="A373" t="str">
        <f>Table1[[#This Row],[District name]]&amp;" "&amp;Table1[[#This Row],[District number]]</f>
        <v>FLOUR BLUFF ISD 178914</v>
      </c>
      <c r="B373" t="s">
        <v>2143</v>
      </c>
      <c r="C373" s="1"/>
      <c r="D373" t="s">
        <v>2144</v>
      </c>
      <c r="E373" s="2" t="s">
        <v>369</v>
      </c>
      <c r="F373" s="137" t="s">
        <v>2145</v>
      </c>
      <c r="G373" s="137" t="s">
        <v>2146</v>
      </c>
      <c r="H373" s="137" t="s">
        <v>2147</v>
      </c>
      <c r="I373" s="113" t="s">
        <v>292</v>
      </c>
      <c r="J373" s="108" t="str">
        <f t="shared" si="5"/>
        <v>178914</v>
      </c>
    </row>
    <row r="374" spans="1:10" ht="15" customHeight="1" x14ac:dyDescent="0.25">
      <c r="A374" t="str">
        <f>Table1[[#This Row],[District name]]&amp;" "&amp;Table1[[#This Row],[District number]]</f>
        <v>FLOYDADA COLLEGIATE ISD 077901</v>
      </c>
      <c r="B374" t="s">
        <v>2148</v>
      </c>
      <c r="C374" s="1"/>
      <c r="D374" t="s">
        <v>2149</v>
      </c>
      <c r="E374" s="2" t="s">
        <v>308</v>
      </c>
      <c r="F374" s="137" t="s">
        <v>2150</v>
      </c>
      <c r="G374" s="137" t="s">
        <v>2151</v>
      </c>
      <c r="H374" s="137" t="s">
        <v>2152</v>
      </c>
      <c r="I374" s="113" t="s">
        <v>292</v>
      </c>
      <c r="J374" s="108" t="str">
        <f t="shared" si="5"/>
        <v>077901</v>
      </c>
    </row>
    <row r="375" spans="1:10" ht="15" customHeight="1" x14ac:dyDescent="0.25">
      <c r="A375" t="str">
        <f>Table1[[#This Row],[District name]]&amp;" "&amp;Table1[[#This Row],[District number]]</f>
        <v>FOLLETT ISD 148902</v>
      </c>
      <c r="B375" t="s">
        <v>2153</v>
      </c>
      <c r="C375" s="1"/>
      <c r="D375" t="s">
        <v>2154</v>
      </c>
      <c r="E375" s="2" t="s">
        <v>356</v>
      </c>
      <c r="F375" s="137" t="s">
        <v>2155</v>
      </c>
      <c r="G375" s="137" t="s">
        <v>2156</v>
      </c>
      <c r="H375" s="137" t="s">
        <v>2157</v>
      </c>
      <c r="I375" s="113" t="s">
        <v>292</v>
      </c>
      <c r="J375" s="108" t="str">
        <f t="shared" si="5"/>
        <v>148902</v>
      </c>
    </row>
    <row r="376" spans="1:10" ht="15" customHeight="1" x14ac:dyDescent="0.25">
      <c r="A376" t="str">
        <f>Table1[[#This Row],[District name]]&amp;" "&amp;Table1[[#This Row],[District number]]</f>
        <v>FORESTBURG ISD 169910</v>
      </c>
      <c r="B376" t="s">
        <v>2158</v>
      </c>
      <c r="C376" s="1"/>
      <c r="D376" t="s">
        <v>2159</v>
      </c>
      <c r="E376" s="2" t="s">
        <v>541</v>
      </c>
      <c r="F376" s="137" t="s">
        <v>2160</v>
      </c>
      <c r="G376" s="137" t="s">
        <v>2161</v>
      </c>
      <c r="H376" s="137" t="s">
        <v>2162</v>
      </c>
      <c r="I376" s="113" t="s">
        <v>292</v>
      </c>
      <c r="J376" s="108" t="str">
        <f t="shared" si="5"/>
        <v>169910</v>
      </c>
    </row>
    <row r="377" spans="1:10" ht="15" customHeight="1" x14ac:dyDescent="0.25">
      <c r="A377" t="str">
        <f>Table1[[#This Row],[District name]]&amp;" "&amp;Table1[[#This Row],[District number]]</f>
        <v>FORNEY ISD 129902</v>
      </c>
      <c r="B377" t="s">
        <v>2163</v>
      </c>
      <c r="C377" s="1"/>
      <c r="D377" t="s">
        <v>2164</v>
      </c>
      <c r="E377" s="2" t="s">
        <v>288</v>
      </c>
      <c r="F377" s="137" t="s">
        <v>2165</v>
      </c>
      <c r="G377" s="137" t="s">
        <v>2166</v>
      </c>
      <c r="H377" s="137" t="s">
        <v>2167</v>
      </c>
      <c r="I377" s="113" t="s">
        <v>292</v>
      </c>
      <c r="J377" s="108" t="str">
        <f t="shared" si="5"/>
        <v>129902</v>
      </c>
    </row>
    <row r="378" spans="1:10" ht="15" customHeight="1" x14ac:dyDescent="0.25">
      <c r="A378" t="str">
        <f>Table1[[#This Row],[District name]]&amp;" "&amp;Table1[[#This Row],[District number]]</f>
        <v>FORSAN ISD 114904</v>
      </c>
      <c r="B378" t="s">
        <v>2168</v>
      </c>
      <c r="C378" s="1"/>
      <c r="D378" t="s">
        <v>2169</v>
      </c>
      <c r="E378" s="2" t="s">
        <v>430</v>
      </c>
      <c r="F378" s="137" t="s">
        <v>1547</v>
      </c>
      <c r="G378" s="137" t="s">
        <v>1400</v>
      </c>
      <c r="H378" s="137" t="s">
        <v>2170</v>
      </c>
      <c r="I378" s="113" t="s">
        <v>292</v>
      </c>
      <c r="J378" s="108" t="str">
        <f t="shared" si="5"/>
        <v>114904</v>
      </c>
    </row>
    <row r="379" spans="1:10" ht="15" customHeight="1" x14ac:dyDescent="0.25">
      <c r="A379" t="str">
        <f>Table1[[#This Row],[District name]]&amp;" "&amp;Table1[[#This Row],[District number]]</f>
        <v>FORT BEND ISD 079907</v>
      </c>
      <c r="B379" t="s">
        <v>2171</v>
      </c>
      <c r="C379" s="1"/>
      <c r="D379" t="s">
        <v>2172</v>
      </c>
      <c r="E379" s="2" t="s">
        <v>295</v>
      </c>
      <c r="F379" s="137" t="s">
        <v>2173</v>
      </c>
      <c r="G379" s="137" t="s">
        <v>2174</v>
      </c>
      <c r="H379" s="137" t="s">
        <v>2175</v>
      </c>
      <c r="I379" s="113" t="s">
        <v>292</v>
      </c>
      <c r="J379" s="108" t="str">
        <f t="shared" si="5"/>
        <v>079907</v>
      </c>
    </row>
    <row r="380" spans="1:10" ht="15" customHeight="1" x14ac:dyDescent="0.25">
      <c r="A380" t="str">
        <f>Table1[[#This Row],[District name]]&amp;" "&amp;Table1[[#This Row],[District number]]</f>
        <v>FORT ELLIOTT CISD 242906</v>
      </c>
      <c r="B380" t="s">
        <v>2176</v>
      </c>
      <c r="C380" s="1"/>
      <c r="D380" t="s">
        <v>2177</v>
      </c>
      <c r="E380" s="2" t="s">
        <v>356</v>
      </c>
      <c r="F380" s="137" t="s">
        <v>2178</v>
      </c>
      <c r="G380" s="137" t="s">
        <v>2179</v>
      </c>
      <c r="H380" s="137" t="s">
        <v>2180</v>
      </c>
      <c r="I380" s="113" t="s">
        <v>292</v>
      </c>
      <c r="J380" s="108" t="str">
        <f t="shared" si="5"/>
        <v>242906</v>
      </c>
    </row>
    <row r="381" spans="1:10" ht="15" customHeight="1" x14ac:dyDescent="0.25">
      <c r="A381" t="str">
        <f>Table1[[#This Row],[District name]]&amp;" "&amp;Table1[[#This Row],[District number]]</f>
        <v>FORT STOCKTON ISD 186902</v>
      </c>
      <c r="B381" t="s">
        <v>2181</v>
      </c>
      <c r="C381" s="1"/>
      <c r="D381" t="s">
        <v>2182</v>
      </c>
      <c r="E381" s="2" t="s">
        <v>430</v>
      </c>
      <c r="F381" s="137" t="s">
        <v>2183</v>
      </c>
      <c r="G381" s="137" t="s">
        <v>2184</v>
      </c>
      <c r="H381" s="137" t="s">
        <v>2185</v>
      </c>
      <c r="I381" s="113" t="s">
        <v>292</v>
      </c>
      <c r="J381" s="108" t="str">
        <f t="shared" si="5"/>
        <v>186902</v>
      </c>
    </row>
    <row r="382" spans="1:10" ht="15" customHeight="1" x14ac:dyDescent="0.25">
      <c r="A382" t="str">
        <f>Table1[[#This Row],[District name]]&amp;" "&amp;Table1[[#This Row],[District number]]</f>
        <v>FORT WORTH ACADEMY OF FINE ARTS 220809</v>
      </c>
      <c r="B382" t="s">
        <v>2186</v>
      </c>
      <c r="C382" s="1"/>
      <c r="D382" t="s">
        <v>2187</v>
      </c>
      <c r="E382" s="2" t="s">
        <v>402</v>
      </c>
      <c r="F382" s="137" t="s">
        <v>2188</v>
      </c>
      <c r="G382" s="137" t="s">
        <v>2189</v>
      </c>
      <c r="H382" s="137" t="s">
        <v>2190</v>
      </c>
      <c r="I382" s="113" t="s">
        <v>292</v>
      </c>
      <c r="J382" s="108" t="str">
        <f t="shared" si="5"/>
        <v>220809</v>
      </c>
    </row>
    <row r="383" spans="1:10" ht="15" customHeight="1" x14ac:dyDescent="0.25">
      <c r="A383" t="str">
        <f>Table1[[#This Row],[District name]]&amp;" "&amp;Table1[[#This Row],[District number]]</f>
        <v>FORT WORTH ISD 220905</v>
      </c>
      <c r="B383" t="s">
        <v>2191</v>
      </c>
      <c r="C383" s="1"/>
      <c r="D383" t="s">
        <v>2192</v>
      </c>
      <c r="E383" s="2" t="s">
        <v>402</v>
      </c>
      <c r="F383" s="137" t="s">
        <v>2193</v>
      </c>
      <c r="G383" s="137" t="s">
        <v>2194</v>
      </c>
      <c r="H383" s="137" t="s">
        <v>2195</v>
      </c>
      <c r="I383" s="113" t="s">
        <v>292</v>
      </c>
      <c r="J383" s="108" t="str">
        <f t="shared" si="5"/>
        <v>220905</v>
      </c>
    </row>
    <row r="384" spans="1:10" ht="15" customHeight="1" x14ac:dyDescent="0.25">
      <c r="A384" t="str">
        <f>Table1[[#This Row],[District name]]&amp;" "&amp;Table1[[#This Row],[District number]]</f>
        <v>FRANKLIN ISD 198903</v>
      </c>
      <c r="B384" t="s">
        <v>2196</v>
      </c>
      <c r="C384" s="1"/>
      <c r="D384" t="s">
        <v>2197</v>
      </c>
      <c r="E384" s="2" t="s">
        <v>480</v>
      </c>
      <c r="F384" s="137" t="s">
        <v>2198</v>
      </c>
      <c r="G384" s="137" t="s">
        <v>2199</v>
      </c>
      <c r="H384" s="137" t="s">
        <v>2200</v>
      </c>
      <c r="I384" s="113" t="s">
        <v>292</v>
      </c>
      <c r="J384" s="108" t="str">
        <f t="shared" si="5"/>
        <v>198903</v>
      </c>
    </row>
    <row r="385" spans="1:10" ht="15" customHeight="1" x14ac:dyDescent="0.25">
      <c r="A385" t="str">
        <f>Table1[[#This Row],[District name]]&amp;" "&amp;Table1[[#This Row],[District number]]</f>
        <v>FRANKSTON ISD 001904</v>
      </c>
      <c r="B385" t="s">
        <v>2201</v>
      </c>
      <c r="C385" s="1"/>
      <c r="D385" t="s">
        <v>2202</v>
      </c>
      <c r="E385" s="2" t="s">
        <v>383</v>
      </c>
      <c r="F385" s="137" t="s">
        <v>2203</v>
      </c>
      <c r="G385" s="137" t="s">
        <v>2204</v>
      </c>
      <c r="H385" s="137" t="s">
        <v>2205</v>
      </c>
      <c r="I385" s="113" t="s">
        <v>292</v>
      </c>
      <c r="J385" s="108" t="str">
        <f t="shared" si="5"/>
        <v>001904</v>
      </c>
    </row>
    <row r="386" spans="1:10" ht="15" customHeight="1" x14ac:dyDescent="0.25">
      <c r="A386" t="str">
        <f>Table1[[#This Row],[District name]]&amp;" "&amp;Table1[[#This Row],[District number]]</f>
        <v>FREDERICKSBURG ISD 086901</v>
      </c>
      <c r="B386" t="s">
        <v>2206</v>
      </c>
      <c r="C386" s="1"/>
      <c r="D386" t="s">
        <v>2207</v>
      </c>
      <c r="E386" s="2" t="s">
        <v>598</v>
      </c>
      <c r="F386" s="137" t="s">
        <v>2208</v>
      </c>
      <c r="G386" s="137" t="s">
        <v>2209</v>
      </c>
      <c r="H386" s="137" t="s">
        <v>2210</v>
      </c>
      <c r="I386" s="113" t="s">
        <v>292</v>
      </c>
      <c r="J386" s="108" t="str">
        <f t="shared" si="5"/>
        <v>086901</v>
      </c>
    </row>
    <row r="387" spans="1:10" ht="15" customHeight="1" x14ac:dyDescent="0.25">
      <c r="A387" t="str">
        <f>Table1[[#This Row],[District name]]&amp;" "&amp;Table1[[#This Row],[District number]]</f>
        <v>FREER ISD 066903</v>
      </c>
      <c r="B387" t="s">
        <v>2211</v>
      </c>
      <c r="C387" s="1"/>
      <c r="D387" t="s">
        <v>2212</v>
      </c>
      <c r="E387" s="2" t="s">
        <v>369</v>
      </c>
      <c r="F387" s="137" t="s">
        <v>2213</v>
      </c>
      <c r="G387" s="137" t="s">
        <v>2214</v>
      </c>
      <c r="H387" s="137" t="s">
        <v>2215</v>
      </c>
      <c r="I387" s="113" t="s">
        <v>292</v>
      </c>
      <c r="J387" s="108" t="str">
        <f t="shared" si="5"/>
        <v>066903</v>
      </c>
    </row>
    <row r="388" spans="1:10" ht="15" customHeight="1" x14ac:dyDescent="0.25">
      <c r="A388" t="str">
        <f>Table1[[#This Row],[District name]]&amp;" "&amp;Table1[[#This Row],[District number]]</f>
        <v>FRENSHIP ISD 152907</v>
      </c>
      <c r="B388" t="s">
        <v>2216</v>
      </c>
      <c r="C388" s="1"/>
      <c r="D388" t="s">
        <v>2217</v>
      </c>
      <c r="E388" s="2" t="s">
        <v>308</v>
      </c>
      <c r="F388" s="137" t="s">
        <v>2218</v>
      </c>
      <c r="G388" s="137" t="s">
        <v>2219</v>
      </c>
      <c r="H388" s="137" t="s">
        <v>2220</v>
      </c>
      <c r="I388" s="113" t="s">
        <v>292</v>
      </c>
      <c r="J388" s="108" t="str">
        <f t="shared" si="5"/>
        <v>152907</v>
      </c>
    </row>
    <row r="389" spans="1:10" ht="15" customHeight="1" x14ac:dyDescent="0.25">
      <c r="A389" t="str">
        <f>Table1[[#This Row],[District name]]&amp;" "&amp;Table1[[#This Row],[District number]]</f>
        <v>FRIENDSWOOD ISD 084911</v>
      </c>
      <c r="B389" t="s">
        <v>2221</v>
      </c>
      <c r="C389" s="1"/>
      <c r="D389" t="s">
        <v>2222</v>
      </c>
      <c r="E389" s="2" t="s">
        <v>295</v>
      </c>
      <c r="F389" s="137" t="s">
        <v>2223</v>
      </c>
      <c r="G389" s="137" t="s">
        <v>2224</v>
      </c>
      <c r="H389" s="137" t="s">
        <v>2225</v>
      </c>
      <c r="I389" s="113" t="s">
        <v>292</v>
      </c>
      <c r="J389" s="108" t="str">
        <f t="shared" ref="J389:J452" si="6">LEFT(B389,6)</f>
        <v>084911</v>
      </c>
    </row>
    <row r="390" spans="1:10" ht="15" customHeight="1" x14ac:dyDescent="0.25">
      <c r="A390" t="str">
        <f>Table1[[#This Row],[District name]]&amp;" "&amp;Table1[[#This Row],[District number]]</f>
        <v>FRIONA ISD 185903</v>
      </c>
      <c r="B390" t="s">
        <v>2226</v>
      </c>
      <c r="C390" s="1"/>
      <c r="D390" t="s">
        <v>2227</v>
      </c>
      <c r="E390" s="2" t="s">
        <v>356</v>
      </c>
      <c r="F390" s="137" t="s">
        <v>2228</v>
      </c>
      <c r="G390" s="137" t="s">
        <v>2229</v>
      </c>
      <c r="H390" s="137" t="s">
        <v>2230</v>
      </c>
      <c r="I390" s="113" t="s">
        <v>292</v>
      </c>
      <c r="J390" s="108" t="str">
        <f t="shared" si="6"/>
        <v>185903</v>
      </c>
    </row>
    <row r="391" spans="1:10" ht="15" customHeight="1" x14ac:dyDescent="0.25">
      <c r="A391" t="str">
        <f>Table1[[#This Row],[District name]]&amp;" "&amp;Table1[[#This Row],[District number]]</f>
        <v>FRISCO ISD 043905</v>
      </c>
      <c r="B391" t="s">
        <v>2231</v>
      </c>
      <c r="C391" s="1"/>
      <c r="D391" t="s">
        <v>2232</v>
      </c>
      <c r="E391" s="2" t="s">
        <v>288</v>
      </c>
      <c r="F391" s="137" t="s">
        <v>2233</v>
      </c>
      <c r="G391" s="137" t="s">
        <v>2234</v>
      </c>
      <c r="H391" s="137" t="s">
        <v>2235</v>
      </c>
      <c r="I391" s="113" t="s">
        <v>292</v>
      </c>
      <c r="J391" s="108" t="str">
        <f t="shared" si="6"/>
        <v>043905</v>
      </c>
    </row>
    <row r="392" spans="1:10" ht="15" customHeight="1" x14ac:dyDescent="0.25">
      <c r="A392" t="str">
        <f>Table1[[#This Row],[District name]]&amp;" "&amp;Table1[[#This Row],[District number]]</f>
        <v>FROST ISD 175905</v>
      </c>
      <c r="B392" t="s">
        <v>2236</v>
      </c>
      <c r="C392" s="1"/>
      <c r="D392" t="s">
        <v>2237</v>
      </c>
      <c r="E392" s="2" t="s">
        <v>301</v>
      </c>
      <c r="F392" s="137" t="s">
        <v>2238</v>
      </c>
      <c r="G392" s="137" t="s">
        <v>2239</v>
      </c>
      <c r="H392" s="137" t="s">
        <v>2240</v>
      </c>
      <c r="I392" s="113" t="s">
        <v>292</v>
      </c>
      <c r="J392" s="108" t="str">
        <f t="shared" si="6"/>
        <v>175905</v>
      </c>
    </row>
    <row r="393" spans="1:10" ht="15" customHeight="1" x14ac:dyDescent="0.25">
      <c r="A393" t="str">
        <f>Table1[[#This Row],[District name]]&amp;" "&amp;Table1[[#This Row],[District number]]</f>
        <v>FRUITVALE ISD 234909</v>
      </c>
      <c r="B393" t="s">
        <v>2241</v>
      </c>
      <c r="C393" s="1"/>
      <c r="D393" t="s">
        <v>2242</v>
      </c>
      <c r="E393" s="2" t="s">
        <v>383</v>
      </c>
      <c r="F393" s="137" t="s">
        <v>378</v>
      </c>
      <c r="G393" s="137" t="s">
        <v>2243</v>
      </c>
      <c r="H393" s="137" t="s">
        <v>2244</v>
      </c>
      <c r="I393" s="113" t="s">
        <v>292</v>
      </c>
      <c r="J393" s="108" t="str">
        <f t="shared" si="6"/>
        <v>234909</v>
      </c>
    </row>
    <row r="394" spans="1:10" ht="15" customHeight="1" x14ac:dyDescent="0.25">
      <c r="A394" t="str">
        <f>Table1[[#This Row],[District name]]&amp;" "&amp;Table1[[#This Row],[District number]]</f>
        <v>FT DAVIS ISD 122901</v>
      </c>
      <c r="B394" t="s">
        <v>2245</v>
      </c>
      <c r="C394" s="1"/>
      <c r="D394" t="s">
        <v>2246</v>
      </c>
      <c r="E394" s="2" t="s">
        <v>430</v>
      </c>
      <c r="F394" s="137" t="s">
        <v>2247</v>
      </c>
      <c r="G394" s="137" t="s">
        <v>2248</v>
      </c>
      <c r="H394" s="137" t="s">
        <v>2249</v>
      </c>
      <c r="I394" s="113" t="s">
        <v>292</v>
      </c>
      <c r="J394" s="108" t="str">
        <f t="shared" si="6"/>
        <v>122901</v>
      </c>
    </row>
    <row r="395" spans="1:10" ht="15" customHeight="1" x14ac:dyDescent="0.25">
      <c r="A395" t="str">
        <f>Table1[[#This Row],[District name]]&amp;" "&amp;Table1[[#This Row],[District number]]</f>
        <v>FT HANCOCK ISD 115901</v>
      </c>
      <c r="B395" t="s">
        <v>2250</v>
      </c>
      <c r="C395" s="1"/>
      <c r="D395" t="s">
        <v>2251</v>
      </c>
      <c r="E395" s="2" t="s">
        <v>507</v>
      </c>
      <c r="F395" s="137" t="s">
        <v>2252</v>
      </c>
      <c r="G395" s="137" t="s">
        <v>2142</v>
      </c>
      <c r="H395" s="137" t="s">
        <v>2253</v>
      </c>
      <c r="I395" s="113" t="s">
        <v>292</v>
      </c>
      <c r="J395" s="108" t="str">
        <f t="shared" si="6"/>
        <v>115901</v>
      </c>
    </row>
    <row r="396" spans="1:10" ht="15" customHeight="1" x14ac:dyDescent="0.25">
      <c r="A396" t="str">
        <f>Table1[[#This Row],[District name]]&amp;" "&amp;Table1[[#This Row],[District number]]</f>
        <v>FT SAM HOUSTON ISD 015914</v>
      </c>
      <c r="B396" t="s">
        <v>2254</v>
      </c>
      <c r="C396" s="1"/>
      <c r="D396" t="s">
        <v>2255</v>
      </c>
      <c r="E396" s="2" t="s">
        <v>376</v>
      </c>
      <c r="F396" s="137" t="s">
        <v>2256</v>
      </c>
      <c r="G396" s="137" t="s">
        <v>2257</v>
      </c>
      <c r="H396" s="137" t="s">
        <v>2258</v>
      </c>
      <c r="I396" s="113" t="s">
        <v>292</v>
      </c>
      <c r="J396" s="108" t="str">
        <f t="shared" si="6"/>
        <v>015914</v>
      </c>
    </row>
    <row r="397" spans="1:10" ht="15" customHeight="1" x14ac:dyDescent="0.25">
      <c r="A397" t="str">
        <f>Table1[[#This Row],[District name]]&amp;" "&amp;Table1[[#This Row],[District number]]</f>
        <v>GAINESVILLE ISD 049901</v>
      </c>
      <c r="B397" t="s">
        <v>2259</v>
      </c>
      <c r="C397" s="1"/>
      <c r="D397" t="s">
        <v>2260</v>
      </c>
      <c r="E397" s="2" t="s">
        <v>402</v>
      </c>
      <c r="F397" s="137" t="s">
        <v>2261</v>
      </c>
      <c r="G397" s="137" t="s">
        <v>2262</v>
      </c>
      <c r="H397" s="137" t="s">
        <v>2263</v>
      </c>
      <c r="I397" s="113" t="s">
        <v>292</v>
      </c>
      <c r="J397" s="108" t="str">
        <f t="shared" si="6"/>
        <v>049901</v>
      </c>
    </row>
    <row r="398" spans="1:10" ht="15" customHeight="1" x14ac:dyDescent="0.25">
      <c r="A398" t="str">
        <f>Table1[[#This Row],[District name]]&amp;" "&amp;Table1[[#This Row],[District number]]</f>
        <v>GALENA PARK ISD 101910</v>
      </c>
      <c r="B398" t="s">
        <v>2264</v>
      </c>
      <c r="C398" s="1"/>
      <c r="D398" t="s">
        <v>2265</v>
      </c>
      <c r="E398" s="2" t="s">
        <v>295</v>
      </c>
      <c r="F398" s="137" t="s">
        <v>2266</v>
      </c>
      <c r="G398" s="137" t="s">
        <v>2267</v>
      </c>
      <c r="H398" s="137" t="s">
        <v>2268</v>
      </c>
      <c r="I398" s="113" t="s">
        <v>292</v>
      </c>
      <c r="J398" s="108" t="str">
        <f t="shared" si="6"/>
        <v>101910</v>
      </c>
    </row>
    <row r="399" spans="1:10" ht="15" customHeight="1" x14ac:dyDescent="0.25">
      <c r="A399" t="str">
        <f>Table1[[#This Row],[District name]]&amp;" "&amp;Table1[[#This Row],[District number]]</f>
        <v>GALVESTON ISD 084902</v>
      </c>
      <c r="B399" t="s">
        <v>2269</v>
      </c>
      <c r="C399" s="1"/>
      <c r="D399" t="s">
        <v>2270</v>
      </c>
      <c r="E399" s="2" t="s">
        <v>295</v>
      </c>
      <c r="F399" s="137" t="s">
        <v>2271</v>
      </c>
      <c r="G399" s="137" t="s">
        <v>2272</v>
      </c>
      <c r="H399" s="137" t="s">
        <v>2273</v>
      </c>
      <c r="I399" s="113" t="s">
        <v>292</v>
      </c>
      <c r="J399" s="108" t="str">
        <f t="shared" si="6"/>
        <v>084902</v>
      </c>
    </row>
    <row r="400" spans="1:10" ht="15" customHeight="1" x14ac:dyDescent="0.25">
      <c r="A400" t="str">
        <f>Table1[[#This Row],[District name]]&amp;" "&amp;Table1[[#This Row],[District number]]</f>
        <v>GANADO ISD 120902</v>
      </c>
      <c r="B400" t="s">
        <v>2274</v>
      </c>
      <c r="C400" s="1"/>
      <c r="D400" t="s">
        <v>2275</v>
      </c>
      <c r="E400" s="2" t="s">
        <v>614</v>
      </c>
      <c r="F400" s="137" t="s">
        <v>2276</v>
      </c>
      <c r="G400" s="137" t="s">
        <v>2277</v>
      </c>
      <c r="H400" s="137" t="s">
        <v>2278</v>
      </c>
      <c r="I400" s="113" t="s">
        <v>292</v>
      </c>
      <c r="J400" s="108" t="str">
        <f t="shared" si="6"/>
        <v>120902</v>
      </c>
    </row>
    <row r="401" spans="1:10" ht="15" customHeight="1" x14ac:dyDescent="0.25">
      <c r="A401" t="str">
        <f>Table1[[#This Row],[District name]]&amp;" "&amp;Table1[[#This Row],[District number]]</f>
        <v>GARLAND ISD 057909</v>
      </c>
      <c r="B401" t="s">
        <v>2279</v>
      </c>
      <c r="C401" s="1"/>
      <c r="D401" t="s">
        <v>2280</v>
      </c>
      <c r="E401" s="2" t="s">
        <v>288</v>
      </c>
      <c r="F401" s="137" t="s">
        <v>2281</v>
      </c>
      <c r="G401" s="137" t="s">
        <v>2282</v>
      </c>
      <c r="H401" s="137" t="s">
        <v>2283</v>
      </c>
      <c r="I401" s="113" t="s">
        <v>292</v>
      </c>
      <c r="J401" s="108" t="str">
        <f t="shared" si="6"/>
        <v>057909</v>
      </c>
    </row>
    <row r="402" spans="1:10" ht="15" customHeight="1" x14ac:dyDescent="0.25">
      <c r="A402" t="str">
        <f>Table1[[#This Row],[District name]]&amp;" "&amp;Table1[[#This Row],[District number]]</f>
        <v>GARNER ISD 184911</v>
      </c>
      <c r="B402" t="s">
        <v>2284</v>
      </c>
      <c r="C402" s="1"/>
      <c r="D402" t="s">
        <v>2285</v>
      </c>
      <c r="E402" s="2" t="s">
        <v>402</v>
      </c>
      <c r="F402" s="137" t="s">
        <v>2286</v>
      </c>
      <c r="G402" s="137" t="s">
        <v>2287</v>
      </c>
      <c r="H402" s="137" t="s">
        <v>2288</v>
      </c>
      <c r="I402" s="113" t="s">
        <v>292</v>
      </c>
      <c r="J402" s="108" t="str">
        <f t="shared" si="6"/>
        <v>184911</v>
      </c>
    </row>
    <row r="403" spans="1:10" ht="15" customHeight="1" x14ac:dyDescent="0.25">
      <c r="A403" t="str">
        <f>Table1[[#This Row],[District name]]&amp;" "&amp;Table1[[#This Row],[District number]]</f>
        <v>GARRISON ISD 174903</v>
      </c>
      <c r="B403" t="s">
        <v>2289</v>
      </c>
      <c r="C403" s="1"/>
      <c r="D403" t="s">
        <v>2290</v>
      </c>
      <c r="E403" s="2" t="s">
        <v>383</v>
      </c>
      <c r="F403" s="137" t="s">
        <v>2291</v>
      </c>
      <c r="G403" s="137" t="s">
        <v>2292</v>
      </c>
      <c r="H403" s="137" t="s">
        <v>2293</v>
      </c>
      <c r="I403" s="113" t="s">
        <v>292</v>
      </c>
      <c r="J403" s="108" t="str">
        <f t="shared" si="6"/>
        <v>174903</v>
      </c>
    </row>
    <row r="404" spans="1:10" ht="15" customHeight="1" x14ac:dyDescent="0.25">
      <c r="A404" t="str">
        <f>Table1[[#This Row],[District name]]&amp;" "&amp;Table1[[#This Row],[District number]]</f>
        <v>GARY ISD 183904</v>
      </c>
      <c r="B404" t="s">
        <v>2294</v>
      </c>
      <c r="C404" s="1"/>
      <c r="D404" t="s">
        <v>2295</v>
      </c>
      <c r="E404" s="2" t="s">
        <v>383</v>
      </c>
      <c r="F404" s="137" t="s">
        <v>2296</v>
      </c>
      <c r="G404" s="137" t="s">
        <v>2297</v>
      </c>
      <c r="H404" s="137" t="s">
        <v>2298</v>
      </c>
      <c r="I404" s="113" t="s">
        <v>292</v>
      </c>
      <c r="J404" s="108" t="str">
        <f t="shared" si="6"/>
        <v>183904</v>
      </c>
    </row>
    <row r="405" spans="1:10" ht="15" customHeight="1" x14ac:dyDescent="0.25">
      <c r="A405" t="str">
        <f>Table1[[#This Row],[District name]]&amp;" "&amp;Table1[[#This Row],[District number]]</f>
        <v>GATESVILLE ISD 050902</v>
      </c>
      <c r="B405" t="s">
        <v>2299</v>
      </c>
      <c r="C405" s="1"/>
      <c r="D405" t="s">
        <v>2300</v>
      </c>
      <c r="E405" s="2" t="s">
        <v>301</v>
      </c>
      <c r="F405" s="137" t="s">
        <v>2301</v>
      </c>
      <c r="G405" s="137" t="s">
        <v>2302</v>
      </c>
      <c r="H405" s="137" t="s">
        <v>2303</v>
      </c>
      <c r="I405" s="113" t="s">
        <v>292</v>
      </c>
      <c r="J405" s="108" t="str">
        <f t="shared" si="6"/>
        <v>050902</v>
      </c>
    </row>
    <row r="406" spans="1:10" ht="15" customHeight="1" x14ac:dyDescent="0.25">
      <c r="A406" t="str">
        <f>Table1[[#This Row],[District name]]&amp;" "&amp;Table1[[#This Row],[District number]]</f>
        <v>GATEWAY CHARTER ACADEMY 057831</v>
      </c>
      <c r="B406" t="s">
        <v>2304</v>
      </c>
      <c r="C406" s="1"/>
      <c r="D406" t="s">
        <v>2305</v>
      </c>
      <c r="E406" s="2" t="s">
        <v>288</v>
      </c>
      <c r="F406" s="137" t="s">
        <v>2306</v>
      </c>
      <c r="G406" s="137" t="s">
        <v>2307</v>
      </c>
      <c r="H406" s="137" t="s">
        <v>2308</v>
      </c>
      <c r="I406" s="113" t="s">
        <v>292</v>
      </c>
      <c r="J406" s="108" t="str">
        <f t="shared" si="6"/>
        <v>057831</v>
      </c>
    </row>
    <row r="407" spans="1:10" ht="15" customHeight="1" x14ac:dyDescent="0.25">
      <c r="A407" t="str">
        <f>Table1[[#This Row],[District name]]&amp;" "&amp;Table1[[#This Row],[District number]]</f>
        <v>GAUSE ISD 166902</v>
      </c>
      <c r="B407" t="s">
        <v>2309</v>
      </c>
      <c r="C407" s="1"/>
      <c r="D407" t="s">
        <v>2310</v>
      </c>
      <c r="E407" s="2" t="s">
        <v>480</v>
      </c>
      <c r="F407" s="137" t="s">
        <v>2311</v>
      </c>
      <c r="G407" s="137" t="s">
        <v>2312</v>
      </c>
      <c r="H407" s="137" t="s">
        <v>2313</v>
      </c>
      <c r="I407" s="113" t="s">
        <v>292</v>
      </c>
      <c r="J407" s="108" t="str">
        <f t="shared" si="6"/>
        <v>166902</v>
      </c>
    </row>
    <row r="408" spans="1:10" ht="15" customHeight="1" x14ac:dyDescent="0.25">
      <c r="A408" t="str">
        <f>Table1[[#This Row],[District name]]&amp;" "&amp;Table1[[#This Row],[District number]]</f>
        <v>GEORGE GERVIN ACADEMY 015802</v>
      </c>
      <c r="B408" t="s">
        <v>2314</v>
      </c>
      <c r="C408" s="1"/>
      <c r="D408" t="s">
        <v>2315</v>
      </c>
      <c r="E408" s="2" t="s">
        <v>376</v>
      </c>
      <c r="F408" s="137" t="s">
        <v>2316</v>
      </c>
      <c r="G408" s="137" t="s">
        <v>2317</v>
      </c>
      <c r="H408" s="137" t="s">
        <v>2318</v>
      </c>
      <c r="I408" s="113" t="s">
        <v>292</v>
      </c>
      <c r="J408" s="108" t="str">
        <f t="shared" si="6"/>
        <v>015802</v>
      </c>
    </row>
    <row r="409" spans="1:10" ht="15" customHeight="1" x14ac:dyDescent="0.25">
      <c r="A409" t="str">
        <f>Table1[[#This Row],[District name]]&amp;" "&amp;Table1[[#This Row],[District number]]</f>
        <v>GEORGE I SANCHEZ CHARTER 101804</v>
      </c>
      <c r="B409" t="s">
        <v>2319</v>
      </c>
      <c r="C409" s="1"/>
      <c r="D409" t="s">
        <v>2320</v>
      </c>
      <c r="E409" s="2" t="s">
        <v>295</v>
      </c>
      <c r="F409" s="137" t="s">
        <v>1033</v>
      </c>
      <c r="G409" s="137" t="s">
        <v>2321</v>
      </c>
      <c r="H409" s="137" t="s">
        <v>2322</v>
      </c>
      <c r="I409" s="113" t="s">
        <v>292</v>
      </c>
      <c r="J409" s="108" t="str">
        <f t="shared" si="6"/>
        <v>101804</v>
      </c>
    </row>
    <row r="410" spans="1:10" ht="15" customHeight="1" x14ac:dyDescent="0.25">
      <c r="A410" t="str">
        <f>Table1[[#This Row],[District name]]&amp;" "&amp;Table1[[#This Row],[District number]]</f>
        <v>GEORGE WEST ISD 149901</v>
      </c>
      <c r="B410" t="s">
        <v>2323</v>
      </c>
      <c r="C410" s="1"/>
      <c r="D410" t="s">
        <v>2324</v>
      </c>
      <c r="E410" s="2" t="s">
        <v>369</v>
      </c>
      <c r="F410" s="137" t="s">
        <v>1359</v>
      </c>
      <c r="G410" s="137" t="s">
        <v>1360</v>
      </c>
      <c r="H410" s="137" t="s">
        <v>2325</v>
      </c>
      <c r="I410" s="113" t="s">
        <v>292</v>
      </c>
      <c r="J410" s="108" t="str">
        <f t="shared" si="6"/>
        <v>149901</v>
      </c>
    </row>
    <row r="411" spans="1:10" ht="15" customHeight="1" x14ac:dyDescent="0.25">
      <c r="A411" t="str">
        <f>Table1[[#This Row],[District name]]&amp;" "&amp;Table1[[#This Row],[District number]]</f>
        <v>GEORGETOWN ISD 246904</v>
      </c>
      <c r="B411" t="s">
        <v>2326</v>
      </c>
      <c r="C411" s="1"/>
      <c r="D411" t="s">
        <v>2327</v>
      </c>
      <c r="E411" s="2" t="s">
        <v>598</v>
      </c>
      <c r="F411" s="137" t="s">
        <v>2328</v>
      </c>
      <c r="G411" s="137" t="s">
        <v>2329</v>
      </c>
      <c r="H411" s="137" t="s">
        <v>2330</v>
      </c>
      <c r="I411" s="113" t="s">
        <v>292</v>
      </c>
      <c r="J411" s="108" t="str">
        <f t="shared" si="6"/>
        <v>246904</v>
      </c>
    </row>
    <row r="412" spans="1:10" ht="15" customHeight="1" x14ac:dyDescent="0.25">
      <c r="A412" t="str">
        <f>Table1[[#This Row],[District name]]&amp;" "&amp;Table1[[#This Row],[District number]]</f>
        <v>GHOLSON ISD 161925</v>
      </c>
      <c r="B412" t="s">
        <v>2331</v>
      </c>
      <c r="C412" s="1"/>
      <c r="D412" t="s">
        <v>2332</v>
      </c>
      <c r="E412" s="2" t="s">
        <v>301</v>
      </c>
      <c r="F412" s="137" t="s">
        <v>2333</v>
      </c>
      <c r="G412" s="137" t="s">
        <v>2334</v>
      </c>
      <c r="H412" s="137" t="s">
        <v>2335</v>
      </c>
      <c r="I412" s="113" t="s">
        <v>292</v>
      </c>
      <c r="J412" s="108" t="str">
        <f t="shared" si="6"/>
        <v>161925</v>
      </c>
    </row>
    <row r="413" spans="1:10" ht="15" customHeight="1" x14ac:dyDescent="0.25">
      <c r="A413" t="str">
        <f>Table1[[#This Row],[District name]]&amp;" "&amp;Table1[[#This Row],[District number]]</f>
        <v>GIDDINGS ISD 144901</v>
      </c>
      <c r="B413" t="s">
        <v>2336</v>
      </c>
      <c r="C413" s="1"/>
      <c r="D413" t="s">
        <v>2337</v>
      </c>
      <c r="E413" s="2" t="s">
        <v>598</v>
      </c>
      <c r="F413" s="137" t="s">
        <v>2338</v>
      </c>
      <c r="G413" s="137" t="s">
        <v>2339</v>
      </c>
      <c r="H413" s="137" t="s">
        <v>2340</v>
      </c>
      <c r="I413" s="113" t="s">
        <v>292</v>
      </c>
      <c r="J413" s="108" t="str">
        <f t="shared" si="6"/>
        <v>144901</v>
      </c>
    </row>
    <row r="414" spans="1:10" ht="15" customHeight="1" x14ac:dyDescent="0.25">
      <c r="A414" t="str">
        <f>Table1[[#This Row],[District name]]&amp;" "&amp;Table1[[#This Row],[District number]]</f>
        <v>GILMER ISD 230902</v>
      </c>
      <c r="B414" t="s">
        <v>2341</v>
      </c>
      <c r="C414" s="1"/>
      <c r="D414" t="s">
        <v>2342</v>
      </c>
      <c r="E414" s="2" t="s">
        <v>383</v>
      </c>
      <c r="F414" s="137" t="s">
        <v>2343</v>
      </c>
      <c r="G414" s="137" t="s">
        <v>2344</v>
      </c>
      <c r="H414" s="137" t="s">
        <v>2345</v>
      </c>
      <c r="I414" s="113" t="s">
        <v>292</v>
      </c>
      <c r="J414" s="108" t="str">
        <f t="shared" si="6"/>
        <v>230902</v>
      </c>
    </row>
    <row r="415" spans="1:10" ht="15" customHeight="1" x14ac:dyDescent="0.25">
      <c r="A415" t="str">
        <f>Table1[[#This Row],[District name]]&amp;" "&amp;Table1[[#This Row],[District number]]</f>
        <v>GLADEWATER ISD 092901</v>
      </c>
      <c r="B415" t="s">
        <v>2346</v>
      </c>
      <c r="C415" s="1"/>
      <c r="D415" t="s">
        <v>2347</v>
      </c>
      <c r="E415" s="2" t="s">
        <v>383</v>
      </c>
      <c r="F415" s="137" t="s">
        <v>2348</v>
      </c>
      <c r="G415" s="137" t="s">
        <v>2349</v>
      </c>
      <c r="H415" s="137" t="s">
        <v>2350</v>
      </c>
      <c r="I415" s="113" t="s">
        <v>292</v>
      </c>
      <c r="J415" s="108" t="str">
        <f t="shared" si="6"/>
        <v>092901</v>
      </c>
    </row>
    <row r="416" spans="1:10" ht="15" customHeight="1" x14ac:dyDescent="0.25">
      <c r="A416" t="str">
        <f>Table1[[#This Row],[District name]]&amp;" "&amp;Table1[[#This Row],[District number]]</f>
        <v>GLASSCOCK COUNTY ISD 087901</v>
      </c>
      <c r="B416" t="s">
        <v>2351</v>
      </c>
      <c r="C416" s="1"/>
      <c r="D416" t="s">
        <v>2352</v>
      </c>
      <c r="E416" s="2" t="s">
        <v>430</v>
      </c>
      <c r="F416" s="137" t="s">
        <v>2353</v>
      </c>
      <c r="G416" s="137" t="s">
        <v>2354</v>
      </c>
      <c r="H416" s="137" t="s">
        <v>2355</v>
      </c>
      <c r="I416" s="113" t="s">
        <v>292</v>
      </c>
      <c r="J416" s="108" t="str">
        <f t="shared" si="6"/>
        <v>087901</v>
      </c>
    </row>
    <row r="417" spans="1:10" ht="15" customHeight="1" x14ac:dyDescent="0.25">
      <c r="A417" t="str">
        <f>Table1[[#This Row],[District name]]&amp;" "&amp;Table1[[#This Row],[District number]]</f>
        <v>GLEN ROSE ISD 213901</v>
      </c>
      <c r="B417" t="s">
        <v>2356</v>
      </c>
      <c r="C417" s="1"/>
      <c r="D417" t="s">
        <v>2357</v>
      </c>
      <c r="E417" s="2" t="s">
        <v>402</v>
      </c>
      <c r="F417" s="137" t="s">
        <v>2358</v>
      </c>
      <c r="G417" s="137" t="s">
        <v>2359</v>
      </c>
      <c r="H417" s="137" t="s">
        <v>2360</v>
      </c>
      <c r="I417" s="113" t="s">
        <v>292</v>
      </c>
      <c r="J417" s="108" t="str">
        <f t="shared" si="6"/>
        <v>213901</v>
      </c>
    </row>
    <row r="418" spans="1:10" ht="15" customHeight="1" x14ac:dyDescent="0.25">
      <c r="A418" t="str">
        <f>Table1[[#This Row],[District name]]&amp;" "&amp;Table1[[#This Row],[District number]]</f>
        <v>GODLEY ISD 126911</v>
      </c>
      <c r="B418" t="s">
        <v>2361</v>
      </c>
      <c r="C418" s="1"/>
      <c r="D418" t="s">
        <v>2362</v>
      </c>
      <c r="E418" s="2" t="s">
        <v>402</v>
      </c>
      <c r="F418" s="137" t="s">
        <v>2363</v>
      </c>
      <c r="G418" s="137" t="s">
        <v>2364</v>
      </c>
      <c r="H418" s="137" t="s">
        <v>2365</v>
      </c>
      <c r="I418" s="113" t="s">
        <v>292</v>
      </c>
      <c r="J418" s="108" t="str">
        <f t="shared" si="6"/>
        <v>126911</v>
      </c>
    </row>
    <row r="419" spans="1:10" ht="15" customHeight="1" x14ac:dyDescent="0.25">
      <c r="A419" t="str">
        <f>Table1[[#This Row],[District name]]&amp;" "&amp;Table1[[#This Row],[District number]]</f>
        <v>GOLD BURG ISD 169906</v>
      </c>
      <c r="B419" t="s">
        <v>2366</v>
      </c>
      <c r="C419" s="1"/>
      <c r="D419" t="s">
        <v>2367</v>
      </c>
      <c r="E419" s="2" t="s">
        <v>541</v>
      </c>
      <c r="F419" s="137" t="s">
        <v>501</v>
      </c>
      <c r="G419" s="137" t="s">
        <v>502</v>
      </c>
      <c r="H419" s="137" t="s">
        <v>503</v>
      </c>
      <c r="I419" s="113" t="s">
        <v>292</v>
      </c>
      <c r="J419" s="108" t="str">
        <f t="shared" si="6"/>
        <v>169906</v>
      </c>
    </row>
    <row r="420" spans="1:10" ht="15" customHeight="1" x14ac:dyDescent="0.25">
      <c r="A420" t="str">
        <f>Table1[[#This Row],[District name]]&amp;" "&amp;Table1[[#This Row],[District number]]</f>
        <v>GOLDEN RULE CHARTER SCHOOL 057835</v>
      </c>
      <c r="B420" t="s">
        <v>2368</v>
      </c>
      <c r="C420" s="1"/>
      <c r="D420" t="s">
        <v>2369</v>
      </c>
      <c r="E420" s="2" t="s">
        <v>288</v>
      </c>
      <c r="F420" s="137" t="s">
        <v>2370</v>
      </c>
      <c r="G420" s="137" t="s">
        <v>861</v>
      </c>
      <c r="H420" s="137" t="s">
        <v>2371</v>
      </c>
      <c r="I420" s="113" t="s">
        <v>292</v>
      </c>
      <c r="J420" s="108" t="str">
        <f t="shared" si="6"/>
        <v>057835</v>
      </c>
    </row>
    <row r="421" spans="1:10" ht="15" customHeight="1" x14ac:dyDescent="0.25">
      <c r="A421" t="str">
        <f>Table1[[#This Row],[District name]]&amp;" "&amp;Table1[[#This Row],[District number]]</f>
        <v>GOLDTHWAITE ISD 167901</v>
      </c>
      <c r="B421" t="s">
        <v>2372</v>
      </c>
      <c r="C421" s="1"/>
      <c r="D421" t="s">
        <v>2373</v>
      </c>
      <c r="E421" s="2" t="s">
        <v>301</v>
      </c>
      <c r="F421" s="137" t="s">
        <v>2374</v>
      </c>
      <c r="G421" s="137" t="s">
        <v>2375</v>
      </c>
      <c r="H421" s="137" t="s">
        <v>2376</v>
      </c>
      <c r="I421" s="113" t="s">
        <v>292</v>
      </c>
      <c r="J421" s="108" t="str">
        <f t="shared" si="6"/>
        <v>167901</v>
      </c>
    </row>
    <row r="422" spans="1:10" ht="15" customHeight="1" x14ac:dyDescent="0.25">
      <c r="A422" t="str">
        <f>Table1[[#This Row],[District name]]&amp;" "&amp;Table1[[#This Row],[District number]]</f>
        <v>GOLIAD ISD 088902</v>
      </c>
      <c r="B422" t="s">
        <v>2377</v>
      </c>
      <c r="C422" s="1"/>
      <c r="D422" t="s">
        <v>2378</v>
      </c>
      <c r="E422" s="2" t="s">
        <v>614</v>
      </c>
      <c r="F422" s="137" t="s">
        <v>2379</v>
      </c>
      <c r="G422" s="137" t="s">
        <v>2380</v>
      </c>
      <c r="H422" s="137" t="s">
        <v>2381</v>
      </c>
      <c r="I422" s="113" t="s">
        <v>292</v>
      </c>
      <c r="J422" s="108" t="str">
        <f t="shared" si="6"/>
        <v>088902</v>
      </c>
    </row>
    <row r="423" spans="1:10" ht="15" customHeight="1" x14ac:dyDescent="0.25">
      <c r="A423" t="str">
        <f>Table1[[#This Row],[District name]]&amp;" "&amp;Table1[[#This Row],[District number]]</f>
        <v>GONZALES ISD 089901</v>
      </c>
      <c r="B423" t="s">
        <v>2382</v>
      </c>
      <c r="C423" s="1"/>
      <c r="D423" t="s">
        <v>2383</v>
      </c>
      <c r="E423" s="2" t="s">
        <v>598</v>
      </c>
      <c r="F423" s="137" t="s">
        <v>2384</v>
      </c>
      <c r="G423" s="137" t="s">
        <v>2385</v>
      </c>
      <c r="H423" s="137" t="s">
        <v>2386</v>
      </c>
      <c r="I423" s="113" t="s">
        <v>292</v>
      </c>
      <c r="J423" s="108" t="str">
        <f t="shared" si="6"/>
        <v>089901</v>
      </c>
    </row>
    <row r="424" spans="1:10" ht="15" customHeight="1" x14ac:dyDescent="0.25">
      <c r="A424" t="str">
        <f>Table1[[#This Row],[District name]]&amp;" "&amp;Table1[[#This Row],[District number]]</f>
        <v>GOODRICH ISD 187903</v>
      </c>
      <c r="B424" t="s">
        <v>2387</v>
      </c>
      <c r="C424" s="1"/>
      <c r="D424" t="s">
        <v>2388</v>
      </c>
      <c r="E424" s="2" t="s">
        <v>480</v>
      </c>
      <c r="F424" s="137" t="s">
        <v>2389</v>
      </c>
      <c r="G424" s="137" t="s">
        <v>2390</v>
      </c>
      <c r="H424" s="137" t="s">
        <v>2391</v>
      </c>
      <c r="I424" s="113" t="s">
        <v>292</v>
      </c>
      <c r="J424" s="108" t="str">
        <f t="shared" si="6"/>
        <v>187903</v>
      </c>
    </row>
    <row r="425" spans="1:10" ht="15" customHeight="1" x14ac:dyDescent="0.25">
      <c r="A425" t="str">
        <f>Table1[[#This Row],[District name]]&amp;" "&amp;Table1[[#This Row],[District number]]</f>
        <v>GOODWATER MONTESSORI SCHOOL 246802</v>
      </c>
      <c r="B425" t="s">
        <v>2392</v>
      </c>
      <c r="C425" s="1"/>
      <c r="D425" t="s">
        <v>2393</v>
      </c>
      <c r="E425" s="2" t="s">
        <v>598</v>
      </c>
      <c r="F425" s="137" t="s">
        <v>1183</v>
      </c>
      <c r="G425" s="137" t="s">
        <v>2394</v>
      </c>
      <c r="H425" s="137" t="s">
        <v>2395</v>
      </c>
      <c r="I425" s="113" t="s">
        <v>292</v>
      </c>
      <c r="J425" s="108" t="str">
        <f t="shared" si="6"/>
        <v>246802</v>
      </c>
    </row>
    <row r="426" spans="1:10" ht="15" customHeight="1" x14ac:dyDescent="0.25">
      <c r="A426" t="str">
        <f>Table1[[#This Row],[District name]]&amp;" "&amp;Table1[[#This Row],[District number]]</f>
        <v>GOOSE CREEK CISD 101911</v>
      </c>
      <c r="B426" t="s">
        <v>2396</v>
      </c>
      <c r="C426" s="1"/>
      <c r="D426" t="s">
        <v>2397</v>
      </c>
      <c r="E426" s="2" t="s">
        <v>295</v>
      </c>
      <c r="F426" s="137" t="s">
        <v>450</v>
      </c>
      <c r="G426" s="137" t="s">
        <v>2398</v>
      </c>
      <c r="H426" s="137" t="s">
        <v>2399</v>
      </c>
      <c r="I426" s="113" t="s">
        <v>292</v>
      </c>
      <c r="J426" s="108" t="str">
        <f t="shared" si="6"/>
        <v>101911</v>
      </c>
    </row>
    <row r="427" spans="1:10" ht="15" customHeight="1" x14ac:dyDescent="0.25">
      <c r="A427" t="str">
        <f>Table1[[#This Row],[District name]]&amp;" "&amp;Table1[[#This Row],[District number]]</f>
        <v>GORDON ISD 182901</v>
      </c>
      <c r="B427" t="s">
        <v>2400</v>
      </c>
      <c r="C427" s="1"/>
      <c r="D427" t="s">
        <v>2401</v>
      </c>
      <c r="E427" s="2" t="s">
        <v>402</v>
      </c>
      <c r="F427" s="137" t="s">
        <v>2402</v>
      </c>
      <c r="G427" s="137" t="s">
        <v>2403</v>
      </c>
      <c r="H427" s="137" t="s">
        <v>2404</v>
      </c>
      <c r="I427" s="113" t="s">
        <v>292</v>
      </c>
      <c r="J427" s="108" t="str">
        <f t="shared" si="6"/>
        <v>182901</v>
      </c>
    </row>
    <row r="428" spans="1:10" ht="15" customHeight="1" x14ac:dyDescent="0.25">
      <c r="A428" t="str">
        <f>Table1[[#This Row],[District name]]&amp;" "&amp;Table1[[#This Row],[District number]]</f>
        <v>GORMAN ISD 067904</v>
      </c>
      <c r="B428" t="s">
        <v>2405</v>
      </c>
      <c r="C428" s="1"/>
      <c r="D428" t="s">
        <v>2406</v>
      </c>
      <c r="E428" s="2" t="s">
        <v>314</v>
      </c>
      <c r="F428" s="137" t="s">
        <v>2407</v>
      </c>
      <c r="G428" s="137" t="s">
        <v>2408</v>
      </c>
      <c r="H428" s="137" t="s">
        <v>2409</v>
      </c>
      <c r="I428" s="113" t="s">
        <v>292</v>
      </c>
      <c r="J428" s="108" t="str">
        <f t="shared" si="6"/>
        <v>067904</v>
      </c>
    </row>
    <row r="429" spans="1:10" ht="15" customHeight="1" x14ac:dyDescent="0.25">
      <c r="A429" t="str">
        <f>Table1[[#This Row],[District name]]&amp;" "&amp;Table1[[#This Row],[District number]]</f>
        <v>GRADY ISD 156905</v>
      </c>
      <c r="B429" t="s">
        <v>2410</v>
      </c>
      <c r="C429" s="1"/>
      <c r="D429" t="s">
        <v>2411</v>
      </c>
      <c r="E429" s="2" t="s">
        <v>430</v>
      </c>
      <c r="F429" s="137" t="s">
        <v>2412</v>
      </c>
      <c r="G429" s="137" t="s">
        <v>2413</v>
      </c>
      <c r="H429" s="137" t="s">
        <v>2414</v>
      </c>
      <c r="I429" s="113" t="s">
        <v>292</v>
      </c>
      <c r="J429" s="108" t="str">
        <f t="shared" si="6"/>
        <v>156905</v>
      </c>
    </row>
    <row r="430" spans="1:10" ht="15" customHeight="1" x14ac:dyDescent="0.25">
      <c r="A430" t="str">
        <f>Table1[[#This Row],[District name]]&amp;" "&amp;Table1[[#This Row],[District number]]</f>
        <v>GRAFORD ISD 182902</v>
      </c>
      <c r="B430" t="s">
        <v>2415</v>
      </c>
      <c r="C430" s="1"/>
      <c r="D430" t="s">
        <v>2416</v>
      </c>
      <c r="E430" s="2" t="s">
        <v>402</v>
      </c>
      <c r="F430" s="137" t="s">
        <v>2417</v>
      </c>
      <c r="G430" s="137" t="s">
        <v>2418</v>
      </c>
      <c r="H430" s="137" t="s">
        <v>2419</v>
      </c>
      <c r="I430" s="113" t="s">
        <v>292</v>
      </c>
      <c r="J430" s="108" t="str">
        <f t="shared" si="6"/>
        <v>182902</v>
      </c>
    </row>
    <row r="431" spans="1:10" ht="15" customHeight="1" x14ac:dyDescent="0.25">
      <c r="A431" t="str">
        <f>Table1[[#This Row],[District name]]&amp;" "&amp;Table1[[#This Row],[District number]]</f>
        <v>GRAHAM ISD 252901</v>
      </c>
      <c r="B431" t="s">
        <v>2420</v>
      </c>
      <c r="C431" s="1"/>
      <c r="D431" t="s">
        <v>2421</v>
      </c>
      <c r="E431" s="2" t="s">
        <v>541</v>
      </c>
      <c r="F431" s="137" t="s">
        <v>2422</v>
      </c>
      <c r="G431" s="137" t="s">
        <v>2423</v>
      </c>
      <c r="H431" s="137" t="s">
        <v>2424</v>
      </c>
      <c r="I431" s="113" t="s">
        <v>292</v>
      </c>
      <c r="J431" s="108" t="str">
        <f t="shared" si="6"/>
        <v>252901</v>
      </c>
    </row>
    <row r="432" spans="1:10" ht="15" customHeight="1" x14ac:dyDescent="0.25">
      <c r="A432" t="str">
        <f>Table1[[#This Row],[District name]]&amp;" "&amp;Table1[[#This Row],[District number]]</f>
        <v>GRANBURY ISD 111901</v>
      </c>
      <c r="B432" t="s">
        <v>2425</v>
      </c>
      <c r="C432" s="1"/>
      <c r="D432" t="s">
        <v>2426</v>
      </c>
      <c r="E432" s="2" t="s">
        <v>402</v>
      </c>
      <c r="F432" s="137" t="s">
        <v>2427</v>
      </c>
      <c r="G432" s="137" t="s">
        <v>2428</v>
      </c>
      <c r="H432" s="137" t="s">
        <v>2429</v>
      </c>
      <c r="I432" s="113" t="s">
        <v>292</v>
      </c>
      <c r="J432" s="108" t="str">
        <f t="shared" si="6"/>
        <v>111901</v>
      </c>
    </row>
    <row r="433" spans="1:10" ht="15" customHeight="1" x14ac:dyDescent="0.25">
      <c r="A433" t="str">
        <f>Table1[[#This Row],[District name]]&amp;" "&amp;Table1[[#This Row],[District number]]</f>
        <v>GRAND PRAIRIE ISD 057910</v>
      </c>
      <c r="B433" t="s">
        <v>2430</v>
      </c>
      <c r="C433" s="1"/>
      <c r="D433" t="s">
        <v>2431</v>
      </c>
      <c r="E433" s="2" t="s">
        <v>288</v>
      </c>
      <c r="F433" s="137" t="s">
        <v>2432</v>
      </c>
      <c r="G433" s="137" t="s">
        <v>2433</v>
      </c>
      <c r="H433" s="137" t="s">
        <v>2434</v>
      </c>
      <c r="I433" s="113" t="s">
        <v>292</v>
      </c>
      <c r="J433" s="108" t="str">
        <f t="shared" si="6"/>
        <v>057910</v>
      </c>
    </row>
    <row r="434" spans="1:10" ht="15" customHeight="1" x14ac:dyDescent="0.25">
      <c r="A434" t="str">
        <f>Table1[[#This Row],[District name]]&amp;" "&amp;Table1[[#This Row],[District number]]</f>
        <v>GRAND SALINE ISD 234904</v>
      </c>
      <c r="B434" t="s">
        <v>2435</v>
      </c>
      <c r="C434" s="1"/>
      <c r="D434" t="s">
        <v>2436</v>
      </c>
      <c r="E434" s="2" t="s">
        <v>383</v>
      </c>
      <c r="F434" s="137" t="s">
        <v>2437</v>
      </c>
      <c r="G434" s="137" t="s">
        <v>2438</v>
      </c>
      <c r="H434" s="137" t="s">
        <v>2439</v>
      </c>
      <c r="I434" s="113" t="s">
        <v>292</v>
      </c>
      <c r="J434" s="108" t="str">
        <f t="shared" si="6"/>
        <v>234904</v>
      </c>
    </row>
    <row r="435" spans="1:10" ht="15" customHeight="1" x14ac:dyDescent="0.25">
      <c r="A435" t="str">
        <f>Table1[[#This Row],[District name]]&amp;" "&amp;Table1[[#This Row],[District number]]</f>
        <v>GRANDFALLS-ROYALTY ISD 238904</v>
      </c>
      <c r="B435" t="s">
        <v>2440</v>
      </c>
      <c r="C435" s="1"/>
      <c r="D435" t="s">
        <v>2441</v>
      </c>
      <c r="E435" s="2" t="s">
        <v>430</v>
      </c>
      <c r="F435" s="137" t="s">
        <v>2442</v>
      </c>
      <c r="G435" s="137" t="s">
        <v>2443</v>
      </c>
      <c r="H435" s="137" t="s">
        <v>2444</v>
      </c>
      <c r="I435" s="113" t="s">
        <v>292</v>
      </c>
      <c r="J435" s="108" t="str">
        <f t="shared" si="6"/>
        <v>238904</v>
      </c>
    </row>
    <row r="436" spans="1:10" ht="15" customHeight="1" x14ac:dyDescent="0.25">
      <c r="A436" t="str">
        <f>Table1[[#This Row],[District name]]&amp;" "&amp;Table1[[#This Row],[District number]]</f>
        <v>GRANDVIEW ISD 126904</v>
      </c>
      <c r="B436" t="s">
        <v>2445</v>
      </c>
      <c r="C436" s="1"/>
      <c r="D436" t="s">
        <v>2446</v>
      </c>
      <c r="E436" s="2" t="s">
        <v>402</v>
      </c>
      <c r="F436" s="137" t="s">
        <v>2447</v>
      </c>
      <c r="G436" s="137" t="s">
        <v>2448</v>
      </c>
      <c r="H436" s="137" t="s">
        <v>2449</v>
      </c>
      <c r="I436" s="113" t="s">
        <v>292</v>
      </c>
      <c r="J436" s="108" t="str">
        <f t="shared" si="6"/>
        <v>126904</v>
      </c>
    </row>
    <row r="437" spans="1:10" ht="15" customHeight="1" x14ac:dyDescent="0.25">
      <c r="A437" t="str">
        <f>Table1[[#This Row],[District name]]&amp;" "&amp;Table1[[#This Row],[District number]]</f>
        <v>GRANDVIEW-HOPKINS ISD 090905</v>
      </c>
      <c r="B437" t="s">
        <v>2450</v>
      </c>
      <c r="C437" s="1"/>
      <c r="D437" t="s">
        <v>2451</v>
      </c>
      <c r="E437" s="2" t="s">
        <v>356</v>
      </c>
      <c r="F437" s="137" t="s">
        <v>2452</v>
      </c>
      <c r="G437" s="137" t="s">
        <v>2453</v>
      </c>
      <c r="H437" s="137" t="s">
        <v>2454</v>
      </c>
      <c r="I437" s="113" t="s">
        <v>292</v>
      </c>
      <c r="J437" s="108" t="str">
        <f t="shared" si="6"/>
        <v>090905</v>
      </c>
    </row>
    <row r="438" spans="1:10" ht="15" customHeight="1" x14ac:dyDescent="0.25">
      <c r="A438" t="str">
        <f>Table1[[#This Row],[District name]]&amp;" "&amp;Table1[[#This Row],[District number]]</f>
        <v>GRANGER ISD 246905</v>
      </c>
      <c r="B438" t="s">
        <v>2455</v>
      </c>
      <c r="C438" s="1"/>
      <c r="D438" t="s">
        <v>2456</v>
      </c>
      <c r="E438" s="2" t="s">
        <v>598</v>
      </c>
      <c r="F438" s="137" t="s">
        <v>864</v>
      </c>
      <c r="G438" s="137" t="s">
        <v>2457</v>
      </c>
      <c r="H438" s="137" t="s">
        <v>866</v>
      </c>
      <c r="I438" s="113" t="s">
        <v>292</v>
      </c>
      <c r="J438" s="108" t="str">
        <f t="shared" si="6"/>
        <v>246905</v>
      </c>
    </row>
    <row r="439" spans="1:10" ht="15" customHeight="1" x14ac:dyDescent="0.25">
      <c r="A439" t="str">
        <f>Table1[[#This Row],[District name]]&amp;" "&amp;Table1[[#This Row],[District number]]</f>
        <v>GRAPE CREEK ISD 226907</v>
      </c>
      <c r="B439" t="s">
        <v>2458</v>
      </c>
      <c r="C439" s="1"/>
      <c r="D439" t="s">
        <v>2459</v>
      </c>
      <c r="E439" s="2" t="s">
        <v>650</v>
      </c>
      <c r="F439" s="137" t="s">
        <v>2460</v>
      </c>
      <c r="G439" s="137" t="s">
        <v>2461</v>
      </c>
      <c r="H439" s="137" t="s">
        <v>2462</v>
      </c>
      <c r="I439" s="113" t="s">
        <v>292</v>
      </c>
      <c r="J439" s="108" t="str">
        <f t="shared" si="6"/>
        <v>226907</v>
      </c>
    </row>
    <row r="440" spans="1:10" ht="15" customHeight="1" x14ac:dyDescent="0.25">
      <c r="A440" t="str">
        <f>Table1[[#This Row],[District name]]&amp;" "&amp;Table1[[#This Row],[District number]]</f>
        <v>GRAPELAND ISD 113902</v>
      </c>
      <c r="B440" t="s">
        <v>2463</v>
      </c>
      <c r="C440" s="1"/>
      <c r="D440" t="s">
        <v>2464</v>
      </c>
      <c r="E440" s="2" t="s">
        <v>480</v>
      </c>
      <c r="F440" s="137" t="s">
        <v>1519</v>
      </c>
      <c r="G440" s="137" t="s">
        <v>2465</v>
      </c>
      <c r="H440" s="137" t="s">
        <v>2466</v>
      </c>
      <c r="I440" s="113" t="s">
        <v>292</v>
      </c>
      <c r="J440" s="108" t="str">
        <f t="shared" si="6"/>
        <v>113902</v>
      </c>
    </row>
    <row r="441" spans="1:10" ht="15" customHeight="1" x14ac:dyDescent="0.25">
      <c r="A441" t="str">
        <f>Table1[[#This Row],[District name]]&amp;" "&amp;Table1[[#This Row],[District number]]</f>
        <v>GRAPEVINE-COLLEYVILLE ISD 220906</v>
      </c>
      <c r="B441" t="s">
        <v>2467</v>
      </c>
      <c r="C441" s="1"/>
      <c r="D441" t="s">
        <v>2468</v>
      </c>
      <c r="E441" s="2" t="s">
        <v>402</v>
      </c>
      <c r="F441" s="137" t="s">
        <v>2469</v>
      </c>
      <c r="G441" s="137" t="s">
        <v>2470</v>
      </c>
      <c r="H441" s="137" t="s">
        <v>2471</v>
      </c>
      <c r="I441" s="113" t="s">
        <v>292</v>
      </c>
      <c r="J441" s="108" t="str">
        <f t="shared" si="6"/>
        <v>220906</v>
      </c>
    </row>
    <row r="442" spans="1:10" ht="15" customHeight="1" x14ac:dyDescent="0.25">
      <c r="A442" t="str">
        <f>Table1[[#This Row],[District name]]&amp;" "&amp;Table1[[#This Row],[District number]]</f>
        <v>GREAT HEARTS TEXAS 015835</v>
      </c>
      <c r="B442" t="s">
        <v>2472</v>
      </c>
      <c r="C442" s="1"/>
      <c r="D442" t="s">
        <v>2473</v>
      </c>
      <c r="E442" s="2" t="s">
        <v>376</v>
      </c>
      <c r="F442" s="137" t="s">
        <v>2474</v>
      </c>
      <c r="G442" s="137" t="s">
        <v>2475</v>
      </c>
      <c r="H442" s="137" t="s">
        <v>2476</v>
      </c>
      <c r="I442" s="113" t="s">
        <v>292</v>
      </c>
      <c r="J442" s="108" t="str">
        <f t="shared" si="6"/>
        <v>015835</v>
      </c>
    </row>
    <row r="443" spans="1:10" ht="15" customHeight="1" x14ac:dyDescent="0.25">
      <c r="A443" t="str">
        <f>Table1[[#This Row],[District name]]&amp;" "&amp;Table1[[#This Row],[District number]]</f>
        <v>GREENVILLE ISD 116905</v>
      </c>
      <c r="B443" t="s">
        <v>2477</v>
      </c>
      <c r="C443" s="1"/>
      <c r="D443" t="s">
        <v>2478</v>
      </c>
      <c r="E443" s="2" t="s">
        <v>288</v>
      </c>
      <c r="F443" s="137" t="s">
        <v>2479</v>
      </c>
      <c r="G443" s="137" t="s">
        <v>2480</v>
      </c>
      <c r="H443" s="137" t="s">
        <v>2481</v>
      </c>
      <c r="I443" s="113" t="s">
        <v>292</v>
      </c>
      <c r="J443" s="108" t="str">
        <f t="shared" si="6"/>
        <v>116905</v>
      </c>
    </row>
    <row r="444" spans="1:10" ht="15" customHeight="1" x14ac:dyDescent="0.25">
      <c r="A444" t="str">
        <f>Table1[[#This Row],[District name]]&amp;" "&amp;Table1[[#This Row],[District number]]</f>
        <v>GREENWOOD ISD 165902</v>
      </c>
      <c r="B444" t="s">
        <v>2482</v>
      </c>
      <c r="C444" s="1"/>
      <c r="D444" t="s">
        <v>2483</v>
      </c>
      <c r="E444" s="2" t="s">
        <v>430</v>
      </c>
      <c r="F444" s="137" t="s">
        <v>2484</v>
      </c>
      <c r="G444" s="137" t="s">
        <v>2485</v>
      </c>
      <c r="H444" s="137" t="s">
        <v>2486</v>
      </c>
      <c r="I444" s="113" t="s">
        <v>292</v>
      </c>
      <c r="J444" s="108" t="str">
        <f t="shared" si="6"/>
        <v>165902</v>
      </c>
    </row>
    <row r="445" spans="1:10" ht="15" customHeight="1" x14ac:dyDescent="0.25">
      <c r="A445" t="str">
        <f>Table1[[#This Row],[District name]]&amp;" "&amp;Table1[[#This Row],[District number]]</f>
        <v>GREGORY-PORTLAND ISD 205902</v>
      </c>
      <c r="B445" t="s">
        <v>2487</v>
      </c>
      <c r="C445" s="1"/>
      <c r="D445" t="s">
        <v>2488</v>
      </c>
      <c r="E445" s="2" t="s">
        <v>369</v>
      </c>
      <c r="F445" s="137" t="s">
        <v>2489</v>
      </c>
      <c r="G445" s="137" t="s">
        <v>2490</v>
      </c>
      <c r="H445" s="137" t="s">
        <v>2491</v>
      </c>
      <c r="I445" s="113" t="s">
        <v>292</v>
      </c>
      <c r="J445" s="108" t="str">
        <f t="shared" si="6"/>
        <v>205902</v>
      </c>
    </row>
    <row r="446" spans="1:10" ht="15" customHeight="1" x14ac:dyDescent="0.25">
      <c r="A446" t="str">
        <f>Table1[[#This Row],[District name]]&amp;" "&amp;Table1[[#This Row],[District number]]</f>
        <v>GROESBECK ISD 147902</v>
      </c>
      <c r="B446" t="s">
        <v>2492</v>
      </c>
      <c r="C446" s="1"/>
      <c r="D446" t="s">
        <v>2493</v>
      </c>
      <c r="E446" s="2" t="s">
        <v>301</v>
      </c>
      <c r="F446" s="137" t="s">
        <v>2494</v>
      </c>
      <c r="G446" s="137" t="s">
        <v>2495</v>
      </c>
      <c r="H446" s="137" t="s">
        <v>2496</v>
      </c>
      <c r="I446" s="113" t="s">
        <v>292</v>
      </c>
      <c r="J446" s="108" t="str">
        <f t="shared" si="6"/>
        <v>147902</v>
      </c>
    </row>
    <row r="447" spans="1:10" ht="15" customHeight="1" x14ac:dyDescent="0.25">
      <c r="A447" t="str">
        <f>Table1[[#This Row],[District name]]&amp;" "&amp;Table1[[#This Row],[District number]]</f>
        <v>GROOM ISD 033901</v>
      </c>
      <c r="B447" t="s">
        <v>2497</v>
      </c>
      <c r="C447" s="1"/>
      <c r="D447" t="s">
        <v>2498</v>
      </c>
      <c r="E447" s="2" t="s">
        <v>356</v>
      </c>
      <c r="F447" s="137" t="s">
        <v>2499</v>
      </c>
      <c r="G447" s="137" t="s">
        <v>2500</v>
      </c>
      <c r="H447" s="137" t="s">
        <v>2501</v>
      </c>
      <c r="I447" s="113" t="s">
        <v>292</v>
      </c>
      <c r="J447" s="108" t="str">
        <f t="shared" si="6"/>
        <v>033901</v>
      </c>
    </row>
    <row r="448" spans="1:10" ht="15" customHeight="1" x14ac:dyDescent="0.25">
      <c r="A448" t="str">
        <f>Table1[[#This Row],[District name]]&amp;" "&amp;Table1[[#This Row],[District number]]</f>
        <v>GROVETON ISD 228901</v>
      </c>
      <c r="B448" t="s">
        <v>2502</v>
      </c>
      <c r="C448" s="1"/>
      <c r="D448" t="s">
        <v>2503</v>
      </c>
      <c r="E448" s="2" t="s">
        <v>480</v>
      </c>
      <c r="F448" s="137" t="s">
        <v>2504</v>
      </c>
      <c r="G448" s="137" t="s">
        <v>2505</v>
      </c>
      <c r="H448" s="137" t="s">
        <v>2506</v>
      </c>
      <c r="I448" s="113" t="s">
        <v>292</v>
      </c>
      <c r="J448" s="108" t="str">
        <f t="shared" si="6"/>
        <v>228901</v>
      </c>
    </row>
    <row r="449" spans="1:10" ht="15" customHeight="1" x14ac:dyDescent="0.25">
      <c r="A449" t="str">
        <f>Table1[[#This Row],[District name]]&amp;" "&amp;Table1[[#This Row],[District number]]</f>
        <v>GRUVER ISD 098901</v>
      </c>
      <c r="B449" t="s">
        <v>2507</v>
      </c>
      <c r="C449" s="1"/>
      <c r="D449" t="s">
        <v>2508</v>
      </c>
      <c r="E449" s="2" t="s">
        <v>356</v>
      </c>
      <c r="F449" s="137" t="s">
        <v>2509</v>
      </c>
      <c r="G449" s="137" t="s">
        <v>2510</v>
      </c>
      <c r="H449" s="137" t="s">
        <v>2511</v>
      </c>
      <c r="I449" s="113" t="s">
        <v>292</v>
      </c>
      <c r="J449" s="108" t="str">
        <f t="shared" si="6"/>
        <v>098901</v>
      </c>
    </row>
    <row r="450" spans="1:10" ht="15" customHeight="1" x14ac:dyDescent="0.25">
      <c r="A450" t="str">
        <f>Table1[[#This Row],[District name]]&amp;" "&amp;Table1[[#This Row],[District number]]</f>
        <v>GUNTER ISD 091917</v>
      </c>
      <c r="B450" t="s">
        <v>2512</v>
      </c>
      <c r="C450" s="1"/>
      <c r="D450" t="s">
        <v>2513</v>
      </c>
      <c r="E450" s="2" t="s">
        <v>288</v>
      </c>
      <c r="F450" s="137" t="s">
        <v>2514</v>
      </c>
      <c r="G450" s="137" t="s">
        <v>2515</v>
      </c>
      <c r="H450" s="137" t="s">
        <v>2516</v>
      </c>
      <c r="I450" s="113" t="s">
        <v>292</v>
      </c>
      <c r="J450" s="108" t="str">
        <f t="shared" si="6"/>
        <v>091917</v>
      </c>
    </row>
    <row r="451" spans="1:10" ht="15" customHeight="1" x14ac:dyDescent="0.25">
      <c r="A451" t="str">
        <f>Table1[[#This Row],[District name]]&amp;" "&amp;Table1[[#This Row],[District number]]</f>
        <v>GUSTINE ISD 047903</v>
      </c>
      <c r="B451" t="s">
        <v>2517</v>
      </c>
      <c r="C451" s="1"/>
      <c r="D451" t="s">
        <v>2518</v>
      </c>
      <c r="E451" s="2" t="s">
        <v>314</v>
      </c>
      <c r="F451" s="137" t="s">
        <v>2519</v>
      </c>
      <c r="G451" s="137" t="s">
        <v>2520</v>
      </c>
      <c r="H451" s="137" t="s">
        <v>2521</v>
      </c>
      <c r="I451" s="113" t="s">
        <v>292</v>
      </c>
      <c r="J451" s="108" t="str">
        <f t="shared" si="6"/>
        <v>047903</v>
      </c>
    </row>
    <row r="452" spans="1:10" ht="15" customHeight="1" x14ac:dyDescent="0.25">
      <c r="A452" t="str">
        <f>Table1[[#This Row],[District name]]&amp;" "&amp;Table1[[#This Row],[District number]]</f>
        <v>GUTHRIE CSD 135001</v>
      </c>
      <c r="B452" t="s">
        <v>2522</v>
      </c>
      <c r="C452" s="1"/>
      <c r="D452" t="s">
        <v>2523</v>
      </c>
      <c r="E452" s="2" t="s">
        <v>308</v>
      </c>
      <c r="F452" s="137" t="s">
        <v>2022</v>
      </c>
      <c r="G452" s="137" t="s">
        <v>2023</v>
      </c>
      <c r="H452" s="137" t="s">
        <v>2024</v>
      </c>
      <c r="I452" s="113" t="s">
        <v>292</v>
      </c>
      <c r="J452" s="108" t="str">
        <f t="shared" si="6"/>
        <v>135001</v>
      </c>
    </row>
    <row r="453" spans="1:10" ht="15" customHeight="1" x14ac:dyDescent="0.25">
      <c r="A453" t="str">
        <f>Table1[[#This Row],[District name]]&amp;" "&amp;Table1[[#This Row],[District number]]</f>
        <v>HALE CENTER ISD 095903</v>
      </c>
      <c r="B453" t="s">
        <v>2524</v>
      </c>
      <c r="C453" s="1"/>
      <c r="D453" t="s">
        <v>2525</v>
      </c>
      <c r="E453" s="2" t="s">
        <v>308</v>
      </c>
      <c r="F453" s="137" t="s">
        <v>2526</v>
      </c>
      <c r="G453" s="137" t="s">
        <v>2527</v>
      </c>
      <c r="H453" s="137" t="s">
        <v>2528</v>
      </c>
      <c r="I453" s="113" t="s">
        <v>292</v>
      </c>
      <c r="J453" s="108" t="str">
        <f t="shared" ref="J453:J516" si="7">LEFT(B453,6)</f>
        <v>095903</v>
      </c>
    </row>
    <row r="454" spans="1:10" ht="15" customHeight="1" x14ac:dyDescent="0.25">
      <c r="A454" t="str">
        <f>Table1[[#This Row],[District name]]&amp;" "&amp;Table1[[#This Row],[District number]]</f>
        <v>HALLETTSVILLE ISD 143901</v>
      </c>
      <c r="B454" t="s">
        <v>2529</v>
      </c>
      <c r="C454" s="1"/>
      <c r="D454" t="s">
        <v>2530</v>
      </c>
      <c r="E454" s="2" t="s">
        <v>614</v>
      </c>
      <c r="F454" s="137" t="s">
        <v>2531</v>
      </c>
      <c r="G454" s="137" t="s">
        <v>2532</v>
      </c>
      <c r="H454" s="137" t="s">
        <v>2533</v>
      </c>
      <c r="I454" s="113" t="s">
        <v>292</v>
      </c>
      <c r="J454" s="108" t="str">
        <f t="shared" si="7"/>
        <v>143901</v>
      </c>
    </row>
    <row r="455" spans="1:10" ht="15" customHeight="1" x14ac:dyDescent="0.25">
      <c r="A455" t="str">
        <f>Table1[[#This Row],[District name]]&amp;" "&amp;Table1[[#This Row],[District number]]</f>
        <v>HALLSBURG ISD 161924</v>
      </c>
      <c r="B455" t="s">
        <v>2534</v>
      </c>
      <c r="C455" s="1"/>
      <c r="D455" t="s">
        <v>2535</v>
      </c>
      <c r="E455" s="2" t="s">
        <v>301</v>
      </c>
      <c r="F455" s="137" t="s">
        <v>2536</v>
      </c>
      <c r="G455" s="137" t="s">
        <v>2537</v>
      </c>
      <c r="H455" s="137" t="s">
        <v>2538</v>
      </c>
      <c r="I455" s="113" t="s">
        <v>292</v>
      </c>
      <c r="J455" s="108" t="str">
        <f t="shared" si="7"/>
        <v>161924</v>
      </c>
    </row>
    <row r="456" spans="1:10" ht="15" customHeight="1" x14ac:dyDescent="0.25">
      <c r="A456" t="str">
        <f>Table1[[#This Row],[District name]]&amp;" "&amp;Table1[[#This Row],[District number]]</f>
        <v>HALLSVILLE ISD 102904</v>
      </c>
      <c r="B456" t="s">
        <v>2539</v>
      </c>
      <c r="C456" s="1"/>
      <c r="D456" t="s">
        <v>2540</v>
      </c>
      <c r="E456" s="2" t="s">
        <v>383</v>
      </c>
      <c r="F456" s="137" t="s">
        <v>2541</v>
      </c>
      <c r="G456" s="137" t="s">
        <v>2542</v>
      </c>
      <c r="H456" s="137" t="s">
        <v>2543</v>
      </c>
      <c r="I456" s="113" t="s">
        <v>292</v>
      </c>
      <c r="J456" s="108" t="str">
        <f t="shared" si="7"/>
        <v>102904</v>
      </c>
    </row>
    <row r="457" spans="1:10" ht="15" customHeight="1" x14ac:dyDescent="0.25">
      <c r="A457" t="str">
        <f>Table1[[#This Row],[District name]]&amp;" "&amp;Table1[[#This Row],[District number]]</f>
        <v>HAMILTON ISD 097902</v>
      </c>
      <c r="B457" t="s">
        <v>2544</v>
      </c>
      <c r="C457" s="1"/>
      <c r="D457" t="s">
        <v>2545</v>
      </c>
      <c r="E457" s="2" t="s">
        <v>301</v>
      </c>
      <c r="F457" s="137" t="s">
        <v>2546</v>
      </c>
      <c r="G457" s="137" t="s">
        <v>2547</v>
      </c>
      <c r="H457" s="137" t="s">
        <v>2548</v>
      </c>
      <c r="I457" s="113" t="s">
        <v>292</v>
      </c>
      <c r="J457" s="108" t="str">
        <f t="shared" si="7"/>
        <v>097902</v>
      </c>
    </row>
    <row r="458" spans="1:10" ht="15" customHeight="1" x14ac:dyDescent="0.25">
      <c r="A458" t="str">
        <f>Table1[[#This Row],[District name]]&amp;" "&amp;Table1[[#This Row],[District number]]</f>
        <v>HAMLIN COLLEGIATE ISD 127903</v>
      </c>
      <c r="B458" t="s">
        <v>2549</v>
      </c>
      <c r="C458" s="1"/>
      <c r="D458" t="s">
        <v>2550</v>
      </c>
      <c r="E458" s="2" t="s">
        <v>314</v>
      </c>
      <c r="F458" s="137" t="s">
        <v>2551</v>
      </c>
      <c r="G458" s="137" t="s">
        <v>2552</v>
      </c>
      <c r="H458" s="137" t="s">
        <v>2553</v>
      </c>
      <c r="I458" s="113" t="s">
        <v>292</v>
      </c>
      <c r="J458" s="108" t="str">
        <f t="shared" si="7"/>
        <v>127903</v>
      </c>
    </row>
    <row r="459" spans="1:10" ht="15" customHeight="1" x14ac:dyDescent="0.25">
      <c r="A459" t="str">
        <f>Table1[[#This Row],[District name]]&amp;" "&amp;Table1[[#This Row],[District number]]</f>
        <v>HAMSHIRE-FANNETT ISD 123914</v>
      </c>
      <c r="B459" t="s">
        <v>2554</v>
      </c>
      <c r="C459" s="1"/>
      <c r="D459" t="s">
        <v>2555</v>
      </c>
      <c r="E459" s="2" t="s">
        <v>706</v>
      </c>
      <c r="F459" s="137" t="s">
        <v>2556</v>
      </c>
      <c r="G459" s="137" t="s">
        <v>2557</v>
      </c>
      <c r="H459" s="137" t="s">
        <v>2558</v>
      </c>
      <c r="I459" s="113" t="s">
        <v>292</v>
      </c>
      <c r="J459" s="108" t="str">
        <f t="shared" si="7"/>
        <v>123914</v>
      </c>
    </row>
    <row r="460" spans="1:10" ht="15" customHeight="1" x14ac:dyDescent="0.25">
      <c r="A460" t="str">
        <f>Table1[[#This Row],[District name]]&amp;" "&amp;Table1[[#This Row],[District number]]</f>
        <v>HAPPY ISD 219901</v>
      </c>
      <c r="B460" t="s">
        <v>2559</v>
      </c>
      <c r="C460" s="1"/>
      <c r="D460" t="s">
        <v>2560</v>
      </c>
      <c r="E460" s="2" t="s">
        <v>356</v>
      </c>
      <c r="F460" s="137" t="s">
        <v>2561</v>
      </c>
      <c r="G460" s="137" t="s">
        <v>2562</v>
      </c>
      <c r="H460" s="137" t="s">
        <v>2563</v>
      </c>
      <c r="I460" s="113" t="s">
        <v>292</v>
      </c>
      <c r="J460" s="108" t="str">
        <f t="shared" si="7"/>
        <v>219901</v>
      </c>
    </row>
    <row r="461" spans="1:10" ht="15" customHeight="1" x14ac:dyDescent="0.25">
      <c r="A461" t="str">
        <f>Table1[[#This Row],[District name]]&amp;" "&amp;Table1[[#This Row],[District number]]</f>
        <v>HARDIN ISD 146904</v>
      </c>
      <c r="B461" t="s">
        <v>2564</v>
      </c>
      <c r="C461" s="1"/>
      <c r="D461" t="s">
        <v>2565</v>
      </c>
      <c r="E461" s="2" t="s">
        <v>295</v>
      </c>
      <c r="F461" s="137" t="s">
        <v>2566</v>
      </c>
      <c r="G461" s="137" t="s">
        <v>2567</v>
      </c>
      <c r="H461" s="137" t="s">
        <v>2568</v>
      </c>
      <c r="I461" s="113" t="s">
        <v>292</v>
      </c>
      <c r="J461" s="108" t="str">
        <f t="shared" si="7"/>
        <v>146904</v>
      </c>
    </row>
    <row r="462" spans="1:10" ht="15" customHeight="1" x14ac:dyDescent="0.25">
      <c r="A462" t="str">
        <f>Table1[[#This Row],[District name]]&amp;" "&amp;Table1[[#This Row],[District number]]</f>
        <v>HARDIN-JEFFERSON ISD 100905</v>
      </c>
      <c r="B462" t="s">
        <v>2569</v>
      </c>
      <c r="C462" s="1"/>
      <c r="D462" t="s">
        <v>2570</v>
      </c>
      <c r="E462" s="2" t="s">
        <v>706</v>
      </c>
      <c r="F462" s="137" t="s">
        <v>2571</v>
      </c>
      <c r="G462" s="137" t="s">
        <v>2572</v>
      </c>
      <c r="H462" s="137" t="s">
        <v>2573</v>
      </c>
      <c r="I462" s="113" t="s">
        <v>292</v>
      </c>
      <c r="J462" s="108" t="str">
        <f t="shared" si="7"/>
        <v>100905</v>
      </c>
    </row>
    <row r="463" spans="1:10" ht="15" customHeight="1" x14ac:dyDescent="0.25">
      <c r="A463" t="str">
        <f>Table1[[#This Row],[District name]]&amp;" "&amp;Table1[[#This Row],[District number]]</f>
        <v>HARLANDALE ISD 015904</v>
      </c>
      <c r="B463" t="s">
        <v>2574</v>
      </c>
      <c r="C463" s="1"/>
      <c r="D463" t="s">
        <v>2575</v>
      </c>
      <c r="E463" s="2" t="s">
        <v>376</v>
      </c>
      <c r="F463" s="137" t="s">
        <v>2296</v>
      </c>
      <c r="G463" s="137" t="s">
        <v>2576</v>
      </c>
      <c r="H463" s="137" t="s">
        <v>2577</v>
      </c>
      <c r="I463" s="113" t="s">
        <v>292</v>
      </c>
      <c r="J463" s="108" t="str">
        <f t="shared" si="7"/>
        <v>015904</v>
      </c>
    </row>
    <row r="464" spans="1:10" ht="15" customHeight="1" x14ac:dyDescent="0.25">
      <c r="A464" t="str">
        <f>Table1[[#This Row],[District name]]&amp;" "&amp;Table1[[#This Row],[District number]]</f>
        <v>HARLETON ISD 102905</v>
      </c>
      <c r="B464" t="s">
        <v>2578</v>
      </c>
      <c r="C464" s="1"/>
      <c r="D464" t="s">
        <v>2579</v>
      </c>
      <c r="E464" s="2" t="s">
        <v>383</v>
      </c>
      <c r="F464" s="137" t="s">
        <v>2580</v>
      </c>
      <c r="G464" s="137" t="s">
        <v>2581</v>
      </c>
      <c r="H464" s="137" t="s">
        <v>2582</v>
      </c>
      <c r="I464" s="113" t="s">
        <v>292</v>
      </c>
      <c r="J464" s="108" t="str">
        <f t="shared" si="7"/>
        <v>102905</v>
      </c>
    </row>
    <row r="465" spans="1:10" ht="15" customHeight="1" x14ac:dyDescent="0.25">
      <c r="A465" t="str">
        <f>Table1[[#This Row],[District name]]&amp;" "&amp;Table1[[#This Row],[District number]]</f>
        <v>HARLINGEN CISD 031903</v>
      </c>
      <c r="B465" t="s">
        <v>2583</v>
      </c>
      <c r="C465" s="1"/>
      <c r="D465" t="s">
        <v>2584</v>
      </c>
      <c r="E465" s="2" t="s">
        <v>982</v>
      </c>
      <c r="F465" s="137" t="s">
        <v>2585</v>
      </c>
      <c r="G465" s="137" t="s">
        <v>2586</v>
      </c>
      <c r="H465" s="137" t="s">
        <v>2587</v>
      </c>
      <c r="I465" s="113" t="s">
        <v>292</v>
      </c>
      <c r="J465" s="108" t="str">
        <f t="shared" si="7"/>
        <v>031903</v>
      </c>
    </row>
    <row r="466" spans="1:10" ht="15" customHeight="1" x14ac:dyDescent="0.25">
      <c r="A466" t="str">
        <f>Table1[[#This Row],[District name]]&amp;" "&amp;Table1[[#This Row],[District number]]</f>
        <v>HARMONY ISD 230905</v>
      </c>
      <c r="B466" t="s">
        <v>2588</v>
      </c>
      <c r="C466" s="1"/>
      <c r="D466" t="s">
        <v>2589</v>
      </c>
      <c r="E466" s="2" t="s">
        <v>383</v>
      </c>
      <c r="F466" s="137" t="s">
        <v>2590</v>
      </c>
      <c r="G466" s="137" t="s">
        <v>2591</v>
      </c>
      <c r="H466" s="137" t="s">
        <v>2592</v>
      </c>
      <c r="I466" s="113" t="s">
        <v>292</v>
      </c>
      <c r="J466" s="108" t="str">
        <f t="shared" si="7"/>
        <v>230905</v>
      </c>
    </row>
    <row r="467" spans="1:10" ht="15" customHeight="1" x14ac:dyDescent="0.25">
      <c r="A467" t="str">
        <f>Table1[[#This Row],[District name]]&amp;" "&amp;Table1[[#This Row],[District number]]</f>
        <v>HARMONY PUBLIC SCHOOLS - CENTRAL TEXAS 227816</v>
      </c>
      <c r="B467" t="s">
        <v>2593</v>
      </c>
      <c r="C467" s="1"/>
      <c r="D467" t="s">
        <v>2594</v>
      </c>
      <c r="E467" s="2" t="s">
        <v>598</v>
      </c>
      <c r="F467" s="137" t="s">
        <v>2595</v>
      </c>
      <c r="G467" s="137" t="s">
        <v>2596</v>
      </c>
      <c r="H467" s="137" t="s">
        <v>2597</v>
      </c>
      <c r="I467" s="113" t="s">
        <v>292</v>
      </c>
      <c r="J467" s="108" t="str">
        <f t="shared" si="7"/>
        <v>227816</v>
      </c>
    </row>
    <row r="468" spans="1:10" ht="15" customHeight="1" x14ac:dyDescent="0.25">
      <c r="A468" t="str">
        <f>Table1[[#This Row],[District name]]&amp;" "&amp;Table1[[#This Row],[District number]]</f>
        <v>HARMONY PUBLIC SCHOOLS - HOUSTON NORTH 101858</v>
      </c>
      <c r="B468" t="s">
        <v>2598</v>
      </c>
      <c r="C468" s="1"/>
      <c r="D468" t="s">
        <v>2599</v>
      </c>
      <c r="E468" s="2" t="s">
        <v>295</v>
      </c>
      <c r="F468" s="137" t="s">
        <v>2600</v>
      </c>
      <c r="G468" s="137" t="s">
        <v>2601</v>
      </c>
      <c r="H468" s="137" t="s">
        <v>2602</v>
      </c>
      <c r="I468" s="113" t="s">
        <v>292</v>
      </c>
      <c r="J468" s="108" t="str">
        <f t="shared" si="7"/>
        <v>101858</v>
      </c>
    </row>
    <row r="469" spans="1:10" ht="15" customHeight="1" x14ac:dyDescent="0.25">
      <c r="A469" t="str">
        <f>Table1[[#This Row],[District name]]&amp;" "&amp;Table1[[#This Row],[District number]]</f>
        <v>HARMONY PUBLIC SCHOOLS - HOUSTON SOUTH 101846</v>
      </c>
      <c r="B469" t="s">
        <v>2603</v>
      </c>
      <c r="C469" s="1"/>
      <c r="D469" t="s">
        <v>2604</v>
      </c>
      <c r="E469" s="2" t="s">
        <v>295</v>
      </c>
      <c r="F469" s="137" t="s">
        <v>2605</v>
      </c>
      <c r="G469" s="137" t="s">
        <v>2606</v>
      </c>
      <c r="H469" s="137" t="s">
        <v>2607</v>
      </c>
      <c r="I469" s="113" t="s">
        <v>292</v>
      </c>
      <c r="J469" s="108" t="str">
        <f t="shared" si="7"/>
        <v>101846</v>
      </c>
    </row>
    <row r="470" spans="1:10" ht="15" customHeight="1" x14ac:dyDescent="0.25">
      <c r="A470" t="str">
        <f>Table1[[#This Row],[District name]]&amp;" "&amp;Table1[[#This Row],[District number]]</f>
        <v>HARMONY PUBLIC SCHOOLS - HOUSTON WEST 101862</v>
      </c>
      <c r="B470" t="s">
        <v>2608</v>
      </c>
      <c r="C470" s="1"/>
      <c r="D470" t="s">
        <v>2609</v>
      </c>
      <c r="E470" s="2" t="s">
        <v>295</v>
      </c>
      <c r="F470" s="137" t="s">
        <v>2610</v>
      </c>
      <c r="G470" s="137" t="s">
        <v>2611</v>
      </c>
      <c r="H470" s="137" t="s">
        <v>2612</v>
      </c>
      <c r="I470" s="113" t="s">
        <v>292</v>
      </c>
      <c r="J470" s="108" t="str">
        <f t="shared" si="7"/>
        <v>101862</v>
      </c>
    </row>
    <row r="471" spans="1:10" ht="15" customHeight="1" x14ac:dyDescent="0.25">
      <c r="A471" t="str">
        <f>Table1[[#This Row],[District name]]&amp;" "&amp;Table1[[#This Row],[District number]]</f>
        <v>HARMONY PUBLIC SCHOOLS - NORTH TEXAS 161807</v>
      </c>
      <c r="B471" t="s">
        <v>2613</v>
      </c>
      <c r="C471" s="1"/>
      <c r="D471" t="s">
        <v>2614</v>
      </c>
      <c r="E471" s="2" t="s">
        <v>301</v>
      </c>
      <c r="F471" s="137" t="s">
        <v>2615</v>
      </c>
      <c r="G471" s="137" t="s">
        <v>2616</v>
      </c>
      <c r="H471" s="137" t="s">
        <v>2617</v>
      </c>
      <c r="I471" s="113" t="s">
        <v>292</v>
      </c>
      <c r="J471" s="108" t="str">
        <f t="shared" si="7"/>
        <v>161807</v>
      </c>
    </row>
    <row r="472" spans="1:10" ht="15" customHeight="1" x14ac:dyDescent="0.25">
      <c r="A472" t="str">
        <f>Table1[[#This Row],[District name]]&amp;" "&amp;Table1[[#This Row],[District number]]</f>
        <v>HARMONY PUBLIC SCHOOLS - SOUTH TEXAS 015828</v>
      </c>
      <c r="B472" t="s">
        <v>2618</v>
      </c>
      <c r="C472" s="1"/>
      <c r="D472" t="s">
        <v>2619</v>
      </c>
      <c r="E472" s="2" t="s">
        <v>376</v>
      </c>
      <c r="F472" s="137" t="s">
        <v>2620</v>
      </c>
      <c r="G472" s="137" t="s">
        <v>2621</v>
      </c>
      <c r="H472" s="137" t="s">
        <v>2622</v>
      </c>
      <c r="I472" s="113" t="s">
        <v>292</v>
      </c>
      <c r="J472" s="108" t="str">
        <f t="shared" si="7"/>
        <v>015828</v>
      </c>
    </row>
    <row r="473" spans="1:10" ht="15" customHeight="1" x14ac:dyDescent="0.25">
      <c r="A473" t="str">
        <f>Table1[[#This Row],[District name]]&amp;" "&amp;Table1[[#This Row],[District number]]</f>
        <v>HARMONY PUBLIC SCHOOLS - WEST TEXAS 071806</v>
      </c>
      <c r="B473" t="s">
        <v>2623</v>
      </c>
      <c r="C473" s="1"/>
      <c r="D473" t="s">
        <v>2624</v>
      </c>
      <c r="E473" s="2" t="s">
        <v>507</v>
      </c>
      <c r="F473" s="137" t="s">
        <v>2625</v>
      </c>
      <c r="G473" s="137" t="s">
        <v>2626</v>
      </c>
      <c r="H473" s="137" t="s">
        <v>2627</v>
      </c>
      <c r="I473" s="113" t="s">
        <v>292</v>
      </c>
      <c r="J473" s="108" t="str">
        <f t="shared" si="7"/>
        <v>071806</v>
      </c>
    </row>
    <row r="474" spans="1:10" ht="15" customHeight="1" x14ac:dyDescent="0.25">
      <c r="A474" t="str">
        <f>Table1[[#This Row],[District name]]&amp;" "&amp;Table1[[#This Row],[District number]]</f>
        <v>HARPER ISD 086902</v>
      </c>
      <c r="B474" t="s">
        <v>2628</v>
      </c>
      <c r="C474" s="1"/>
      <c r="D474" t="s">
        <v>2629</v>
      </c>
      <c r="E474" s="2" t="s">
        <v>598</v>
      </c>
      <c r="F474" s="137" t="s">
        <v>2630</v>
      </c>
      <c r="G474" s="137" t="s">
        <v>2631</v>
      </c>
      <c r="H474" s="137" t="s">
        <v>2632</v>
      </c>
      <c r="I474" s="113" t="s">
        <v>292</v>
      </c>
      <c r="J474" s="108" t="str">
        <f t="shared" si="7"/>
        <v>086902</v>
      </c>
    </row>
    <row r="475" spans="1:10" ht="15" customHeight="1" x14ac:dyDescent="0.25">
      <c r="A475" t="str">
        <f>Table1[[#This Row],[District name]]&amp;" "&amp;Table1[[#This Row],[District number]]</f>
        <v>HARROLD ISD 244901</v>
      </c>
      <c r="B475" t="s">
        <v>2633</v>
      </c>
      <c r="C475" s="1"/>
      <c r="D475" t="s">
        <v>2634</v>
      </c>
      <c r="E475" s="2" t="s">
        <v>541</v>
      </c>
      <c r="F475" s="137" t="s">
        <v>2635</v>
      </c>
      <c r="G475" s="137" t="s">
        <v>2636</v>
      </c>
      <c r="H475" s="137" t="s">
        <v>2637</v>
      </c>
      <c r="I475" s="113" t="s">
        <v>292</v>
      </c>
      <c r="J475" s="108" t="str">
        <f t="shared" si="7"/>
        <v>244901</v>
      </c>
    </row>
    <row r="476" spans="1:10" ht="15" customHeight="1" x14ac:dyDescent="0.25">
      <c r="A476" t="str">
        <f>Table1[[#This Row],[District name]]&amp;" "&amp;Table1[[#This Row],[District number]]</f>
        <v>HART ISD 035902</v>
      </c>
      <c r="B476" t="s">
        <v>2638</v>
      </c>
      <c r="C476" s="1"/>
      <c r="D476" t="s">
        <v>2639</v>
      </c>
      <c r="E476" s="2" t="s">
        <v>356</v>
      </c>
      <c r="F476" s="137" t="s">
        <v>2640</v>
      </c>
      <c r="G476" s="137" t="s">
        <v>2641</v>
      </c>
      <c r="H476" s="137" t="s">
        <v>2642</v>
      </c>
      <c r="I476" s="113" t="s">
        <v>292</v>
      </c>
      <c r="J476" s="108" t="str">
        <f t="shared" si="7"/>
        <v>035902</v>
      </c>
    </row>
    <row r="477" spans="1:10" ht="15" customHeight="1" x14ac:dyDescent="0.25">
      <c r="A477" t="str">
        <f>Table1[[#This Row],[District name]]&amp;" "&amp;Table1[[#This Row],[District number]]</f>
        <v>HARTLEY ISD 103902</v>
      </c>
      <c r="B477" t="s">
        <v>2643</v>
      </c>
      <c r="C477" s="1"/>
      <c r="D477" t="s">
        <v>2644</v>
      </c>
      <c r="E477" s="2" t="s">
        <v>356</v>
      </c>
      <c r="F477" s="137" t="s">
        <v>2645</v>
      </c>
      <c r="G477" s="137" t="s">
        <v>2646</v>
      </c>
      <c r="H477" s="137" t="s">
        <v>2647</v>
      </c>
      <c r="I477" s="113" t="s">
        <v>292</v>
      </c>
      <c r="J477" s="108" t="str">
        <f t="shared" si="7"/>
        <v>103902</v>
      </c>
    </row>
    <row r="478" spans="1:10" ht="15" customHeight="1" x14ac:dyDescent="0.25">
      <c r="A478" t="str">
        <f>Table1[[#This Row],[District name]]&amp;" "&amp;Table1[[#This Row],[District number]]</f>
        <v>HARTS BLUFF ISD 225907</v>
      </c>
      <c r="B478" t="s">
        <v>2648</v>
      </c>
      <c r="C478" s="1"/>
      <c r="D478" t="s">
        <v>2649</v>
      </c>
      <c r="E478" s="2" t="s">
        <v>587</v>
      </c>
      <c r="F478" s="137" t="s">
        <v>2650</v>
      </c>
      <c r="G478" s="137" t="s">
        <v>2651</v>
      </c>
      <c r="H478" s="137" t="s">
        <v>2652</v>
      </c>
      <c r="I478" s="113" t="s">
        <v>292</v>
      </c>
      <c r="J478" s="108" t="str">
        <f t="shared" si="7"/>
        <v>225907</v>
      </c>
    </row>
    <row r="479" spans="1:10" ht="15" customHeight="1" x14ac:dyDescent="0.25">
      <c r="A479" t="str">
        <f>Table1[[#This Row],[District name]]&amp;" "&amp;Table1[[#This Row],[District number]]</f>
        <v>HASKELL CISD 104901</v>
      </c>
      <c r="B479" t="s">
        <v>2653</v>
      </c>
      <c r="C479" s="1"/>
      <c r="D479" t="s">
        <v>2654</v>
      </c>
      <c r="E479" s="2" t="s">
        <v>314</v>
      </c>
      <c r="F479" s="137" t="s">
        <v>2655</v>
      </c>
      <c r="G479" s="137" t="s">
        <v>2656</v>
      </c>
      <c r="H479" s="137" t="s">
        <v>2657</v>
      </c>
      <c r="I479" s="113" t="s">
        <v>292</v>
      </c>
      <c r="J479" s="108" t="str">
        <f t="shared" si="7"/>
        <v>104901</v>
      </c>
    </row>
    <row r="480" spans="1:10" ht="15" customHeight="1" x14ac:dyDescent="0.25">
      <c r="A480" t="str">
        <f>Table1[[#This Row],[District name]]&amp;" "&amp;Table1[[#This Row],[District number]]</f>
        <v>HAWKINS ISD 250902</v>
      </c>
      <c r="B480" t="s">
        <v>2658</v>
      </c>
      <c r="C480" s="1"/>
      <c r="D480" t="s">
        <v>2659</v>
      </c>
      <c r="E480" s="2" t="s">
        <v>383</v>
      </c>
      <c r="F480" s="137" t="s">
        <v>2660</v>
      </c>
      <c r="G480" s="137" t="s">
        <v>2661</v>
      </c>
      <c r="H480" s="137" t="s">
        <v>2662</v>
      </c>
      <c r="I480" s="113" t="s">
        <v>292</v>
      </c>
      <c r="J480" s="108" t="str">
        <f t="shared" si="7"/>
        <v>250902</v>
      </c>
    </row>
    <row r="481" spans="1:10" ht="15" customHeight="1" x14ac:dyDescent="0.25">
      <c r="A481" t="str">
        <f>Table1[[#This Row],[District name]]&amp;" "&amp;Table1[[#This Row],[District number]]</f>
        <v>HAWLEY ISD 127904</v>
      </c>
      <c r="B481" t="s">
        <v>2663</v>
      </c>
      <c r="C481" s="1"/>
      <c r="D481" t="s">
        <v>2664</v>
      </c>
      <c r="E481" s="2" t="s">
        <v>314</v>
      </c>
      <c r="F481" s="137" t="s">
        <v>2665</v>
      </c>
      <c r="G481" s="137" t="s">
        <v>2666</v>
      </c>
      <c r="H481" s="137" t="s">
        <v>2667</v>
      </c>
      <c r="I481" s="113" t="s">
        <v>292</v>
      </c>
      <c r="J481" s="108" t="str">
        <f t="shared" si="7"/>
        <v>127904</v>
      </c>
    </row>
    <row r="482" spans="1:10" ht="15" customHeight="1" x14ac:dyDescent="0.25">
      <c r="A482" t="str">
        <f>Table1[[#This Row],[District name]]&amp;" "&amp;Table1[[#This Row],[District number]]</f>
        <v>HAYS CISD 105906</v>
      </c>
      <c r="B482" t="s">
        <v>2668</v>
      </c>
      <c r="C482" s="1"/>
      <c r="D482" t="s">
        <v>2669</v>
      </c>
      <c r="E482" s="2" t="s">
        <v>598</v>
      </c>
      <c r="F482" s="137" t="s">
        <v>2670</v>
      </c>
      <c r="G482" s="137" t="s">
        <v>2671</v>
      </c>
      <c r="H482" s="137" t="s">
        <v>2672</v>
      </c>
      <c r="I482" s="113" t="s">
        <v>292</v>
      </c>
      <c r="J482" s="108" t="str">
        <f t="shared" si="7"/>
        <v>105906</v>
      </c>
    </row>
    <row r="483" spans="1:10" ht="15" customHeight="1" x14ac:dyDescent="0.25">
      <c r="A483" t="str">
        <f>Table1[[#This Row],[District name]]&amp;" "&amp;Table1[[#This Row],[District number]]</f>
        <v>HEARNE ISD 198905</v>
      </c>
      <c r="B483" t="s">
        <v>2673</v>
      </c>
      <c r="C483" s="1"/>
      <c r="D483" t="s">
        <v>2674</v>
      </c>
      <c r="E483" s="2" t="s">
        <v>480</v>
      </c>
      <c r="F483" s="137" t="s">
        <v>2675</v>
      </c>
      <c r="G483" s="137" t="s">
        <v>2676</v>
      </c>
      <c r="H483" s="137" t="s">
        <v>2677</v>
      </c>
      <c r="I483" s="113" t="s">
        <v>292</v>
      </c>
      <c r="J483" s="108" t="str">
        <f t="shared" si="7"/>
        <v>198905</v>
      </c>
    </row>
    <row r="484" spans="1:10" ht="15" customHeight="1" x14ac:dyDescent="0.25">
      <c r="A484" t="str">
        <f>Table1[[#This Row],[District name]]&amp;" "&amp;Table1[[#This Row],[District number]]</f>
        <v>HEDLEY ISD 065902</v>
      </c>
      <c r="B484" t="s">
        <v>2678</v>
      </c>
      <c r="C484" s="1"/>
      <c r="D484" t="s">
        <v>2679</v>
      </c>
      <c r="E484" s="2" t="s">
        <v>356</v>
      </c>
      <c r="F484" s="137" t="s">
        <v>2680</v>
      </c>
      <c r="G484" s="137" t="s">
        <v>2681</v>
      </c>
      <c r="H484" s="137" t="s">
        <v>2682</v>
      </c>
      <c r="I484" s="113" t="s">
        <v>292</v>
      </c>
      <c r="J484" s="108" t="str">
        <f t="shared" si="7"/>
        <v>065902</v>
      </c>
    </row>
    <row r="485" spans="1:10" ht="15" customHeight="1" x14ac:dyDescent="0.25">
      <c r="A485" t="str">
        <f>Table1[[#This Row],[District name]]&amp;" "&amp;Table1[[#This Row],[District number]]</f>
        <v>HEMPHILL ISD 202903</v>
      </c>
      <c r="B485" t="s">
        <v>2683</v>
      </c>
      <c r="C485" s="1"/>
      <c r="D485" t="s">
        <v>2684</v>
      </c>
      <c r="E485" s="2" t="s">
        <v>383</v>
      </c>
      <c r="F485" s="137" t="s">
        <v>2536</v>
      </c>
      <c r="G485" s="137" t="s">
        <v>2537</v>
      </c>
      <c r="H485" s="137" t="s">
        <v>2538</v>
      </c>
      <c r="I485" s="113" t="s">
        <v>292</v>
      </c>
      <c r="J485" s="108" t="str">
        <f t="shared" si="7"/>
        <v>202903</v>
      </c>
    </row>
    <row r="486" spans="1:10" ht="15" customHeight="1" x14ac:dyDescent="0.25">
      <c r="A486" t="str">
        <f>Table1[[#This Row],[District name]]&amp;" "&amp;Table1[[#This Row],[District number]]</f>
        <v>HEMPSTEAD ISD 237902</v>
      </c>
      <c r="B486" t="s">
        <v>2685</v>
      </c>
      <c r="C486" s="1"/>
      <c r="D486" t="s">
        <v>2686</v>
      </c>
      <c r="E486" s="2" t="s">
        <v>295</v>
      </c>
      <c r="F486" s="137" t="s">
        <v>2687</v>
      </c>
      <c r="G486" s="137" t="s">
        <v>2688</v>
      </c>
      <c r="H486" s="137" t="s">
        <v>2689</v>
      </c>
      <c r="I486" s="113" t="s">
        <v>292</v>
      </c>
      <c r="J486" s="108" t="str">
        <f t="shared" si="7"/>
        <v>237902</v>
      </c>
    </row>
    <row r="487" spans="1:10" ht="15" customHeight="1" x14ac:dyDescent="0.25">
      <c r="A487" t="str">
        <f>Table1[[#This Row],[District name]]&amp;" "&amp;Table1[[#This Row],[District number]]</f>
        <v>HENDERSON ISD 201902</v>
      </c>
      <c r="B487" t="s">
        <v>2690</v>
      </c>
      <c r="C487" s="1"/>
      <c r="D487" t="s">
        <v>2691</v>
      </c>
      <c r="E487" s="2" t="s">
        <v>383</v>
      </c>
      <c r="F487" s="137" t="s">
        <v>2692</v>
      </c>
      <c r="G487" s="137" t="s">
        <v>2693</v>
      </c>
      <c r="H487" s="137" t="s">
        <v>2694</v>
      </c>
      <c r="I487" s="113" t="s">
        <v>292</v>
      </c>
      <c r="J487" s="108" t="str">
        <f t="shared" si="7"/>
        <v>201902</v>
      </c>
    </row>
    <row r="488" spans="1:10" ht="15" customHeight="1" x14ac:dyDescent="0.25">
      <c r="A488" t="str">
        <f>Table1[[#This Row],[District name]]&amp;" "&amp;Table1[[#This Row],[District number]]</f>
        <v>HENRIETTA ISD 039902</v>
      </c>
      <c r="B488" t="s">
        <v>2695</v>
      </c>
      <c r="C488" s="1"/>
      <c r="D488" t="s">
        <v>2696</v>
      </c>
      <c r="E488" s="2" t="s">
        <v>541</v>
      </c>
      <c r="F488" s="137" t="s">
        <v>2697</v>
      </c>
      <c r="G488" s="137" t="s">
        <v>2698</v>
      </c>
      <c r="H488" s="137" t="s">
        <v>2699</v>
      </c>
      <c r="I488" s="113" t="s">
        <v>292</v>
      </c>
      <c r="J488" s="108" t="str">
        <f t="shared" si="7"/>
        <v>039902</v>
      </c>
    </row>
    <row r="489" spans="1:10" ht="15" customHeight="1" x14ac:dyDescent="0.25">
      <c r="A489" t="str">
        <f>Table1[[#This Row],[District name]]&amp;" "&amp;Table1[[#This Row],[District number]]</f>
        <v>HENRY FORD ACADEMY ALAMEDA SCHOOL FOR ART + DESIGN 015833</v>
      </c>
      <c r="B489" t="s">
        <v>2700</v>
      </c>
      <c r="C489" s="1"/>
      <c r="D489" t="s">
        <v>2701</v>
      </c>
      <c r="E489" s="2" t="s">
        <v>376</v>
      </c>
      <c r="F489" s="137" t="s">
        <v>2702</v>
      </c>
      <c r="G489" s="137" t="s">
        <v>2703</v>
      </c>
      <c r="H489" s="137" t="s">
        <v>2704</v>
      </c>
      <c r="I489" s="113" t="s">
        <v>292</v>
      </c>
      <c r="J489" s="108" t="str">
        <f t="shared" si="7"/>
        <v>015833</v>
      </c>
    </row>
    <row r="490" spans="1:10" ht="15" customHeight="1" x14ac:dyDescent="0.25">
      <c r="A490" t="str">
        <f>Table1[[#This Row],[District name]]&amp;" "&amp;Table1[[#This Row],[District number]]</f>
        <v>HEREFORD ISD 059901</v>
      </c>
      <c r="B490" t="s">
        <v>2705</v>
      </c>
      <c r="C490" s="1"/>
      <c r="D490" t="s">
        <v>2706</v>
      </c>
      <c r="E490" s="2" t="s">
        <v>356</v>
      </c>
      <c r="F490" s="137" t="s">
        <v>2707</v>
      </c>
      <c r="G490" s="137" t="s">
        <v>2708</v>
      </c>
      <c r="H490" s="137" t="s">
        <v>2709</v>
      </c>
      <c r="I490" s="113" t="s">
        <v>292</v>
      </c>
      <c r="J490" s="108" t="str">
        <f t="shared" si="7"/>
        <v>059901</v>
      </c>
    </row>
    <row r="491" spans="1:10" ht="15" customHeight="1" x14ac:dyDescent="0.25">
      <c r="A491" t="str">
        <f>Table1[[#This Row],[District name]]&amp;" "&amp;Table1[[#This Row],[District number]]</f>
        <v>HERITAGE ACADEMY 015815</v>
      </c>
      <c r="B491" t="s">
        <v>2710</v>
      </c>
      <c r="C491" s="1"/>
      <c r="D491" t="s">
        <v>2711</v>
      </c>
      <c r="E491" s="2" t="s">
        <v>376</v>
      </c>
      <c r="F491" s="137" t="s">
        <v>2712</v>
      </c>
      <c r="G491" s="137" t="s">
        <v>2713</v>
      </c>
      <c r="H491" s="137" t="s">
        <v>2714</v>
      </c>
      <c r="I491" s="113" t="s">
        <v>292</v>
      </c>
      <c r="J491" s="108" t="str">
        <f t="shared" si="7"/>
        <v>015815</v>
      </c>
    </row>
    <row r="492" spans="1:10" ht="15" customHeight="1" x14ac:dyDescent="0.25">
      <c r="A492" t="str">
        <f>Table1[[#This Row],[District name]]&amp;" "&amp;Table1[[#This Row],[District number]]</f>
        <v>HERMLEIGH ISD 208901</v>
      </c>
      <c r="B492" t="s">
        <v>2715</v>
      </c>
      <c r="C492" s="1"/>
      <c r="D492" t="s">
        <v>2716</v>
      </c>
      <c r="E492" s="2" t="s">
        <v>314</v>
      </c>
      <c r="F492" s="137" t="s">
        <v>2717</v>
      </c>
      <c r="G492" s="137" t="s">
        <v>2718</v>
      </c>
      <c r="H492" s="137" t="s">
        <v>2719</v>
      </c>
      <c r="I492" s="113" t="s">
        <v>292</v>
      </c>
      <c r="J492" s="108" t="str">
        <f t="shared" si="7"/>
        <v>208901</v>
      </c>
    </row>
    <row r="493" spans="1:10" ht="15" customHeight="1" x14ac:dyDescent="0.25">
      <c r="A493" t="str">
        <f>Table1[[#This Row],[District name]]&amp;" "&amp;Table1[[#This Row],[District number]]</f>
        <v>HICO ISD 097903</v>
      </c>
      <c r="B493" t="s">
        <v>2720</v>
      </c>
      <c r="C493" s="1"/>
      <c r="D493" t="s">
        <v>2721</v>
      </c>
      <c r="E493" s="2" t="s">
        <v>301</v>
      </c>
      <c r="F493" s="137" t="s">
        <v>2722</v>
      </c>
      <c r="G493" s="137" t="s">
        <v>2723</v>
      </c>
      <c r="H493" s="137" t="s">
        <v>2724</v>
      </c>
      <c r="I493" s="113" t="s">
        <v>292</v>
      </c>
      <c r="J493" s="108" t="str">
        <f t="shared" si="7"/>
        <v>097903</v>
      </c>
    </row>
    <row r="494" spans="1:10" ht="15" customHeight="1" x14ac:dyDescent="0.25">
      <c r="A494" t="str">
        <f>Table1[[#This Row],[District name]]&amp;" "&amp;Table1[[#This Row],[District number]]</f>
        <v>HIDALGO ISD 108905</v>
      </c>
      <c r="B494" t="s">
        <v>2725</v>
      </c>
      <c r="C494" s="1"/>
      <c r="D494" t="s">
        <v>2726</v>
      </c>
      <c r="E494" s="2" t="s">
        <v>982</v>
      </c>
      <c r="F494" s="137" t="s">
        <v>2727</v>
      </c>
      <c r="G494" s="137" t="s">
        <v>2728</v>
      </c>
      <c r="H494" s="137" t="s">
        <v>2729</v>
      </c>
      <c r="I494" s="113" t="s">
        <v>292</v>
      </c>
      <c r="J494" s="108" t="str">
        <f t="shared" si="7"/>
        <v>108905</v>
      </c>
    </row>
    <row r="495" spans="1:10" ht="15" customHeight="1" x14ac:dyDescent="0.25">
      <c r="A495" t="str">
        <f>Table1[[#This Row],[District name]]&amp;" "&amp;Table1[[#This Row],[District number]]</f>
        <v>HIGH ISLAND ISD 084903</v>
      </c>
      <c r="B495" t="s">
        <v>2730</v>
      </c>
      <c r="C495" s="1"/>
      <c r="D495" t="s">
        <v>2731</v>
      </c>
      <c r="E495" s="2" t="s">
        <v>295</v>
      </c>
      <c r="F495" s="137" t="s">
        <v>2732</v>
      </c>
      <c r="G495" s="137" t="s">
        <v>2733</v>
      </c>
      <c r="H495" s="137" t="s">
        <v>2734</v>
      </c>
      <c r="I495" s="113" t="s">
        <v>292</v>
      </c>
      <c r="J495" s="108" t="str">
        <f t="shared" si="7"/>
        <v>084903</v>
      </c>
    </row>
    <row r="496" spans="1:10" ht="15" customHeight="1" x14ac:dyDescent="0.25">
      <c r="A496" t="str">
        <f>Table1[[#This Row],[District name]]&amp;" "&amp;Table1[[#This Row],[District number]]</f>
        <v>HIGH POINT ACADEMY 220819</v>
      </c>
      <c r="B496" t="s">
        <v>2735</v>
      </c>
      <c r="C496" s="1"/>
      <c r="D496" t="s">
        <v>2736</v>
      </c>
      <c r="E496" s="2" t="s">
        <v>2042</v>
      </c>
      <c r="F496" s="137" t="s">
        <v>2042</v>
      </c>
      <c r="G496" s="137" t="s">
        <v>2042</v>
      </c>
      <c r="H496" s="137" t="s">
        <v>2042</v>
      </c>
      <c r="I496" s="113" t="s">
        <v>292</v>
      </c>
      <c r="J496" s="108" t="str">
        <f t="shared" si="7"/>
        <v>220819</v>
      </c>
    </row>
    <row r="497" spans="1:10" ht="15" customHeight="1" x14ac:dyDescent="0.25">
      <c r="A497" t="str">
        <f>Table1[[#This Row],[District name]]&amp;" "&amp;Table1[[#This Row],[District number]]</f>
        <v>HIGHLAND ISD 177905</v>
      </c>
      <c r="B497" t="s">
        <v>2737</v>
      </c>
      <c r="C497" s="1"/>
      <c r="D497" t="s">
        <v>2738</v>
      </c>
      <c r="E497" s="2" t="s">
        <v>314</v>
      </c>
      <c r="F497" s="137" t="s">
        <v>2739</v>
      </c>
      <c r="G497" s="137" t="s">
        <v>2740</v>
      </c>
      <c r="H497" s="137" t="s">
        <v>2741</v>
      </c>
      <c r="I497" s="113" t="s">
        <v>292</v>
      </c>
      <c r="J497" s="108" t="str">
        <f t="shared" si="7"/>
        <v>177905</v>
      </c>
    </row>
    <row r="498" spans="1:10" ht="15" customHeight="1" x14ac:dyDescent="0.25">
      <c r="A498" t="str">
        <f>Table1[[#This Row],[District name]]&amp;" "&amp;Table1[[#This Row],[District number]]</f>
        <v>HIGHLAND PARK ISD 057911</v>
      </c>
      <c r="B498" t="s">
        <v>2742</v>
      </c>
      <c r="C498" s="1"/>
      <c r="D498" t="s">
        <v>2743</v>
      </c>
      <c r="E498" s="2" t="s">
        <v>288</v>
      </c>
      <c r="F498" s="137" t="s">
        <v>2744</v>
      </c>
      <c r="G498" s="137" t="s">
        <v>901</v>
      </c>
      <c r="H498" s="137" t="s">
        <v>2745</v>
      </c>
      <c r="I498" s="113" t="s">
        <v>292</v>
      </c>
      <c r="J498" s="108" t="str">
        <f t="shared" si="7"/>
        <v>057911</v>
      </c>
    </row>
    <row r="499" spans="1:10" ht="15" customHeight="1" x14ac:dyDescent="0.25">
      <c r="A499" t="str">
        <f>Table1[[#This Row],[District name]]&amp;" "&amp;Table1[[#This Row],[District number]]</f>
        <v>HIGHLAND PARK ISD 188903</v>
      </c>
      <c r="B499" t="s">
        <v>2746</v>
      </c>
      <c r="C499" s="1"/>
      <c r="D499" t="s">
        <v>2743</v>
      </c>
      <c r="E499" s="2" t="s">
        <v>356</v>
      </c>
      <c r="F499" s="137" t="s">
        <v>2747</v>
      </c>
      <c r="G499" s="137" t="s">
        <v>2748</v>
      </c>
      <c r="H499" s="137" t="s">
        <v>2749</v>
      </c>
      <c r="I499" s="113" t="s">
        <v>292</v>
      </c>
      <c r="J499" s="108" t="str">
        <f t="shared" si="7"/>
        <v>188903</v>
      </c>
    </row>
    <row r="500" spans="1:10" ht="15" customHeight="1" x14ac:dyDescent="0.25">
      <c r="A500" t="str">
        <f>Table1[[#This Row],[District name]]&amp;" "&amp;Table1[[#This Row],[District number]]</f>
        <v>HILLSBORO ISD 109904</v>
      </c>
      <c r="B500" t="s">
        <v>2750</v>
      </c>
      <c r="C500" s="1"/>
      <c r="D500" t="s">
        <v>2751</v>
      </c>
      <c r="E500" s="2" t="s">
        <v>301</v>
      </c>
      <c r="F500" s="137" t="s">
        <v>2752</v>
      </c>
      <c r="G500" s="137" t="s">
        <v>2753</v>
      </c>
      <c r="H500" s="137" t="s">
        <v>2754</v>
      </c>
      <c r="I500" s="113" t="s">
        <v>292</v>
      </c>
      <c r="J500" s="108" t="str">
        <f t="shared" si="7"/>
        <v>109904</v>
      </c>
    </row>
    <row r="501" spans="1:10" ht="15" customHeight="1" x14ac:dyDescent="0.25">
      <c r="A501" t="str">
        <f>Table1[[#This Row],[District name]]&amp;" "&amp;Table1[[#This Row],[District number]]</f>
        <v>HITCHCOCK ISD 084908</v>
      </c>
      <c r="B501" t="s">
        <v>2755</v>
      </c>
      <c r="C501" s="1"/>
      <c r="D501" t="s">
        <v>2756</v>
      </c>
      <c r="E501" s="2" t="s">
        <v>295</v>
      </c>
      <c r="F501" s="137" t="s">
        <v>2757</v>
      </c>
      <c r="G501" s="137" t="s">
        <v>2758</v>
      </c>
      <c r="H501" s="137" t="s">
        <v>2759</v>
      </c>
      <c r="I501" s="113" t="s">
        <v>292</v>
      </c>
      <c r="J501" s="108" t="str">
        <f t="shared" si="7"/>
        <v>084908</v>
      </c>
    </row>
    <row r="502" spans="1:10" ht="15" customHeight="1" x14ac:dyDescent="0.25">
      <c r="A502" t="str">
        <f>Table1[[#This Row],[District name]]&amp;" "&amp;Table1[[#This Row],[District number]]</f>
        <v>HOLLAND ISD 014905</v>
      </c>
      <c r="B502" t="s">
        <v>2760</v>
      </c>
      <c r="C502" s="1"/>
      <c r="D502" t="s">
        <v>2761</v>
      </c>
      <c r="E502" s="2" t="s">
        <v>301</v>
      </c>
      <c r="F502" s="137" t="s">
        <v>1038</v>
      </c>
      <c r="G502" s="137" t="s">
        <v>1039</v>
      </c>
      <c r="H502" s="137" t="s">
        <v>1040</v>
      </c>
      <c r="I502" s="113" t="s">
        <v>292</v>
      </c>
      <c r="J502" s="108" t="str">
        <f t="shared" si="7"/>
        <v>014905</v>
      </c>
    </row>
    <row r="503" spans="1:10" ht="15" customHeight="1" x14ac:dyDescent="0.25">
      <c r="A503" t="str">
        <f>Table1[[#This Row],[District name]]&amp;" "&amp;Table1[[#This Row],[District number]]</f>
        <v>HOLLIDAY ISD 005902</v>
      </c>
      <c r="B503" t="s">
        <v>2762</v>
      </c>
      <c r="C503" s="1"/>
      <c r="D503" t="s">
        <v>2763</v>
      </c>
      <c r="E503" s="2" t="s">
        <v>541</v>
      </c>
      <c r="F503" s="137" t="s">
        <v>2764</v>
      </c>
      <c r="G503" s="137" t="s">
        <v>2765</v>
      </c>
      <c r="H503" s="137" t="s">
        <v>2766</v>
      </c>
      <c r="I503" s="113" t="s">
        <v>292</v>
      </c>
      <c r="J503" s="108" t="str">
        <f t="shared" si="7"/>
        <v>005902</v>
      </c>
    </row>
    <row r="504" spans="1:10" ht="15" customHeight="1" x14ac:dyDescent="0.25">
      <c r="A504" t="str">
        <f>Table1[[#This Row],[District name]]&amp;" "&amp;Table1[[#This Row],[District number]]</f>
        <v>HONDO ISD 163904</v>
      </c>
      <c r="B504" t="s">
        <v>2767</v>
      </c>
      <c r="C504" s="1"/>
      <c r="D504" t="s">
        <v>2768</v>
      </c>
      <c r="E504" s="2" t="s">
        <v>376</v>
      </c>
      <c r="F504" s="137" t="s">
        <v>2769</v>
      </c>
      <c r="G504" s="137" t="s">
        <v>2770</v>
      </c>
      <c r="H504" s="137" t="s">
        <v>2771</v>
      </c>
      <c r="I504" s="113" t="s">
        <v>292</v>
      </c>
      <c r="J504" s="108" t="str">
        <f t="shared" si="7"/>
        <v>163904</v>
      </c>
    </row>
    <row r="505" spans="1:10" ht="15" customHeight="1" x14ac:dyDescent="0.25">
      <c r="A505" t="str">
        <f>Table1[[#This Row],[District name]]&amp;" "&amp;Table1[[#This Row],[District number]]</f>
        <v>HONEY GROVE ISD 074907</v>
      </c>
      <c r="B505" t="s">
        <v>2772</v>
      </c>
      <c r="C505" s="1"/>
      <c r="D505" t="s">
        <v>2773</v>
      </c>
      <c r="E505" s="2" t="s">
        <v>288</v>
      </c>
      <c r="F505" s="137" t="s">
        <v>2774</v>
      </c>
      <c r="G505" s="137" t="s">
        <v>2775</v>
      </c>
      <c r="H505" s="137" t="s">
        <v>2776</v>
      </c>
      <c r="I505" s="113" t="s">
        <v>292</v>
      </c>
      <c r="J505" s="108" t="str">
        <f t="shared" si="7"/>
        <v>074907</v>
      </c>
    </row>
    <row r="506" spans="1:10" ht="15" customHeight="1" x14ac:dyDescent="0.25">
      <c r="A506" t="str">
        <f>Table1[[#This Row],[District name]]&amp;" "&amp;Table1[[#This Row],[District number]]</f>
        <v>HOOKS ISD 019902</v>
      </c>
      <c r="B506" t="s">
        <v>2777</v>
      </c>
      <c r="C506" s="1"/>
      <c r="D506" t="s">
        <v>2778</v>
      </c>
      <c r="E506" s="2" t="s">
        <v>587</v>
      </c>
      <c r="F506" s="137" t="s">
        <v>2779</v>
      </c>
      <c r="G506" s="137" t="s">
        <v>2780</v>
      </c>
      <c r="H506" s="137" t="s">
        <v>2781</v>
      </c>
      <c r="I506" s="113" t="s">
        <v>292</v>
      </c>
      <c r="J506" s="108" t="str">
        <f t="shared" si="7"/>
        <v>019902</v>
      </c>
    </row>
    <row r="507" spans="1:10" ht="15" customHeight="1" x14ac:dyDescent="0.25">
      <c r="A507" t="str">
        <f>Table1[[#This Row],[District name]]&amp;" "&amp;Table1[[#This Row],[District number]]</f>
        <v>HORIZON MONTESSORI PUBLIC SCHOOLS 108802</v>
      </c>
      <c r="B507" t="s">
        <v>2782</v>
      </c>
      <c r="C507" s="1"/>
      <c r="D507" t="s">
        <v>2783</v>
      </c>
      <c r="E507" s="2" t="s">
        <v>982</v>
      </c>
      <c r="F507" s="137" t="s">
        <v>696</v>
      </c>
      <c r="G507" s="137" t="s">
        <v>2784</v>
      </c>
      <c r="H507" s="137" t="s">
        <v>698</v>
      </c>
      <c r="I507" s="113" t="s">
        <v>292</v>
      </c>
      <c r="J507" s="108" t="str">
        <f t="shared" si="7"/>
        <v>108802</v>
      </c>
    </row>
    <row r="508" spans="1:10" ht="15" customHeight="1" x14ac:dyDescent="0.25">
      <c r="A508" t="str">
        <f>Table1[[#This Row],[District name]]&amp;" "&amp;Table1[[#This Row],[District number]]</f>
        <v>HOUSTON CLASSICAL CHARTER SCHOOL 101878</v>
      </c>
      <c r="B508" t="s">
        <v>2785</v>
      </c>
      <c r="C508" s="1"/>
      <c r="D508" t="s">
        <v>2786</v>
      </c>
      <c r="E508" s="2" t="s">
        <v>295</v>
      </c>
      <c r="F508" s="137" t="s">
        <v>2787</v>
      </c>
      <c r="G508" s="137" t="s">
        <v>2788</v>
      </c>
      <c r="H508" s="137" t="s">
        <v>2789</v>
      </c>
      <c r="I508" s="113" t="s">
        <v>292</v>
      </c>
      <c r="J508" s="108" t="str">
        <f t="shared" si="7"/>
        <v>101878</v>
      </c>
    </row>
    <row r="509" spans="1:10" ht="15" customHeight="1" x14ac:dyDescent="0.25">
      <c r="A509" t="str">
        <f>Table1[[#This Row],[District name]]&amp;" "&amp;Table1[[#This Row],[District number]]</f>
        <v>HOUSTON GATEWAY ACADEMY INC 101828</v>
      </c>
      <c r="B509" t="s">
        <v>2790</v>
      </c>
      <c r="C509" s="1"/>
      <c r="D509" t="s">
        <v>2791</v>
      </c>
      <c r="E509" s="2" t="s">
        <v>295</v>
      </c>
      <c r="F509" s="137" t="s">
        <v>344</v>
      </c>
      <c r="G509" s="137" t="s">
        <v>2792</v>
      </c>
      <c r="H509" s="137" t="s">
        <v>2793</v>
      </c>
      <c r="I509" s="113" t="s">
        <v>292</v>
      </c>
      <c r="J509" s="108" t="str">
        <f t="shared" si="7"/>
        <v>101828</v>
      </c>
    </row>
    <row r="510" spans="1:10" ht="15" customHeight="1" x14ac:dyDescent="0.25">
      <c r="A510" t="str">
        <f>Table1[[#This Row],[District name]]&amp;" "&amp;Table1[[#This Row],[District number]]</f>
        <v>HOUSTON HEIGHTS HIGH SCHOOL 101821</v>
      </c>
      <c r="B510" t="s">
        <v>2794</v>
      </c>
      <c r="C510" s="1"/>
      <c r="D510" t="s">
        <v>2795</v>
      </c>
      <c r="E510" s="2" t="s">
        <v>295</v>
      </c>
      <c r="F510" s="137" t="s">
        <v>2796</v>
      </c>
      <c r="G510" s="137" t="s">
        <v>2797</v>
      </c>
      <c r="H510" s="137" t="s">
        <v>2798</v>
      </c>
      <c r="I510" s="113" t="s">
        <v>292</v>
      </c>
      <c r="J510" s="108" t="str">
        <f t="shared" si="7"/>
        <v>101821</v>
      </c>
    </row>
    <row r="511" spans="1:10" ht="15" customHeight="1" x14ac:dyDescent="0.25">
      <c r="A511" t="str">
        <f>Table1[[#This Row],[District name]]&amp;" "&amp;Table1[[#This Row],[District number]]</f>
        <v>HOUSTON ISD 101912</v>
      </c>
      <c r="B511" t="s">
        <v>2799</v>
      </c>
      <c r="C511" s="1"/>
      <c r="D511" t="s">
        <v>2800</v>
      </c>
      <c r="E511" s="2" t="s">
        <v>295</v>
      </c>
      <c r="F511" s="137" t="s">
        <v>2801</v>
      </c>
      <c r="G511" s="137" t="s">
        <v>2802</v>
      </c>
      <c r="H511" s="137" t="s">
        <v>2803</v>
      </c>
      <c r="I511" s="113" t="s">
        <v>292</v>
      </c>
      <c r="J511" s="108" t="str">
        <f t="shared" si="7"/>
        <v>101912</v>
      </c>
    </row>
    <row r="512" spans="1:10" ht="15" customHeight="1" x14ac:dyDescent="0.25">
      <c r="A512" t="str">
        <f>Table1[[#This Row],[District name]]&amp;" "&amp;Table1[[#This Row],[District number]]</f>
        <v>HOWE ISD 091905</v>
      </c>
      <c r="B512" t="s">
        <v>2804</v>
      </c>
      <c r="C512" s="1"/>
      <c r="D512" t="s">
        <v>2805</v>
      </c>
      <c r="E512" s="2" t="s">
        <v>288</v>
      </c>
      <c r="F512" s="137" t="s">
        <v>2806</v>
      </c>
      <c r="G512" s="137" t="s">
        <v>2807</v>
      </c>
      <c r="H512" s="137" t="s">
        <v>2808</v>
      </c>
      <c r="I512" s="113" t="s">
        <v>292</v>
      </c>
      <c r="J512" s="108" t="str">
        <f t="shared" si="7"/>
        <v>091905</v>
      </c>
    </row>
    <row r="513" spans="1:10" ht="15" customHeight="1" x14ac:dyDescent="0.25">
      <c r="A513" t="str">
        <f>Table1[[#This Row],[District name]]&amp;" "&amp;Table1[[#This Row],[District number]]</f>
        <v>HUBBARD ISD 019913</v>
      </c>
      <c r="B513" t="s">
        <v>2809</v>
      </c>
      <c r="C513" s="1"/>
      <c r="D513" t="s">
        <v>2810</v>
      </c>
      <c r="E513" s="2" t="s">
        <v>587</v>
      </c>
      <c r="F513" s="137" t="s">
        <v>1920</v>
      </c>
      <c r="G513" s="137" t="s">
        <v>2811</v>
      </c>
      <c r="H513" s="137" t="s">
        <v>2812</v>
      </c>
      <c r="I513" s="113" t="s">
        <v>292</v>
      </c>
      <c r="J513" s="108" t="str">
        <f t="shared" si="7"/>
        <v>019913</v>
      </c>
    </row>
    <row r="514" spans="1:10" ht="15" customHeight="1" x14ac:dyDescent="0.25">
      <c r="A514" t="str">
        <f>Table1[[#This Row],[District name]]&amp;" "&amp;Table1[[#This Row],[District number]]</f>
        <v>HUBBARD ISD 109905</v>
      </c>
      <c r="B514" t="s">
        <v>2813</v>
      </c>
      <c r="C514" s="1"/>
      <c r="D514" t="s">
        <v>2810</v>
      </c>
      <c r="E514" s="2" t="s">
        <v>301</v>
      </c>
      <c r="F514" s="137" t="s">
        <v>497</v>
      </c>
      <c r="G514" s="137" t="s">
        <v>1732</v>
      </c>
      <c r="H514" s="137" t="s">
        <v>2814</v>
      </c>
      <c r="I514" s="113" t="s">
        <v>292</v>
      </c>
      <c r="J514" s="108" t="str">
        <f t="shared" si="7"/>
        <v>109905</v>
      </c>
    </row>
    <row r="515" spans="1:10" ht="15" customHeight="1" x14ac:dyDescent="0.25">
      <c r="A515" t="str">
        <f>Table1[[#This Row],[District name]]&amp;" "&amp;Table1[[#This Row],[District number]]</f>
        <v>HUCKABAY ISD 072908</v>
      </c>
      <c r="B515" t="s">
        <v>2815</v>
      </c>
      <c r="C515" s="1"/>
      <c r="D515" t="s">
        <v>2816</v>
      </c>
      <c r="E515" s="2" t="s">
        <v>402</v>
      </c>
      <c r="F515" s="137" t="s">
        <v>2817</v>
      </c>
      <c r="G515" s="137" t="s">
        <v>2818</v>
      </c>
      <c r="H515" s="137" t="s">
        <v>2819</v>
      </c>
      <c r="I515" s="113" t="s">
        <v>292</v>
      </c>
      <c r="J515" s="108" t="str">
        <f t="shared" si="7"/>
        <v>072908</v>
      </c>
    </row>
    <row r="516" spans="1:10" ht="15" customHeight="1" x14ac:dyDescent="0.25">
      <c r="A516" t="str">
        <f>Table1[[#This Row],[District name]]&amp;" "&amp;Table1[[#This Row],[District number]]</f>
        <v>HUDSON ISD 003902</v>
      </c>
      <c r="B516" t="s">
        <v>2820</v>
      </c>
      <c r="C516" s="1"/>
      <c r="D516" t="s">
        <v>2821</v>
      </c>
      <c r="E516" s="2" t="s">
        <v>383</v>
      </c>
      <c r="F516" s="137" t="s">
        <v>2822</v>
      </c>
      <c r="G516" s="137" t="s">
        <v>2823</v>
      </c>
      <c r="H516" s="137" t="s">
        <v>2824</v>
      </c>
      <c r="I516" s="113" t="s">
        <v>292</v>
      </c>
      <c r="J516" s="108" t="str">
        <f t="shared" si="7"/>
        <v>003902</v>
      </c>
    </row>
    <row r="517" spans="1:10" ht="15" customHeight="1" x14ac:dyDescent="0.25">
      <c r="A517" t="str">
        <f>Table1[[#This Row],[District name]]&amp;" "&amp;Table1[[#This Row],[District number]]</f>
        <v>HUFFMAN ISD 101925</v>
      </c>
      <c r="B517" t="s">
        <v>2825</v>
      </c>
      <c r="C517" s="1"/>
      <c r="D517" t="s">
        <v>2826</v>
      </c>
      <c r="E517" s="2" t="s">
        <v>295</v>
      </c>
      <c r="F517" s="137" t="s">
        <v>2827</v>
      </c>
      <c r="G517" s="137" t="s">
        <v>2828</v>
      </c>
      <c r="H517" s="137" t="s">
        <v>2829</v>
      </c>
      <c r="I517" s="113" t="s">
        <v>292</v>
      </c>
      <c r="J517" s="108" t="str">
        <f t="shared" ref="J517:J580" si="8">LEFT(B517,6)</f>
        <v>101925</v>
      </c>
    </row>
    <row r="518" spans="1:10" ht="15" customHeight="1" x14ac:dyDescent="0.25">
      <c r="A518" t="str">
        <f>Table1[[#This Row],[District name]]&amp;" "&amp;Table1[[#This Row],[District number]]</f>
        <v>HUGHES SPRINGS ISD 034903</v>
      </c>
      <c r="B518" t="s">
        <v>2830</v>
      </c>
      <c r="C518" s="1"/>
      <c r="D518" t="s">
        <v>2831</v>
      </c>
      <c r="E518" s="2" t="s">
        <v>587</v>
      </c>
      <c r="F518" s="137" t="s">
        <v>1930</v>
      </c>
      <c r="G518" s="137" t="s">
        <v>2832</v>
      </c>
      <c r="H518" s="137" t="s">
        <v>2833</v>
      </c>
      <c r="I518" s="113" t="s">
        <v>292</v>
      </c>
      <c r="J518" s="108" t="str">
        <f t="shared" si="8"/>
        <v>034903</v>
      </c>
    </row>
    <row r="519" spans="1:10" ht="15" customHeight="1" x14ac:dyDescent="0.25">
      <c r="A519" t="str">
        <f>Table1[[#This Row],[District name]]&amp;" "&amp;Table1[[#This Row],[District number]]</f>
        <v>HULL-DAISETTA ISD 146905</v>
      </c>
      <c r="B519" t="s">
        <v>2834</v>
      </c>
      <c r="C519" s="1"/>
      <c r="D519" t="s">
        <v>2835</v>
      </c>
      <c r="E519" s="2" t="s">
        <v>295</v>
      </c>
      <c r="F519" s="137" t="s">
        <v>2836</v>
      </c>
      <c r="G519" s="137" t="s">
        <v>2837</v>
      </c>
      <c r="H519" s="137" t="s">
        <v>2838</v>
      </c>
      <c r="I519" s="113" t="s">
        <v>292</v>
      </c>
      <c r="J519" s="108" t="str">
        <f t="shared" si="8"/>
        <v>146905</v>
      </c>
    </row>
    <row r="520" spans="1:10" ht="15" customHeight="1" x14ac:dyDescent="0.25">
      <c r="A520" t="str">
        <f>Table1[[#This Row],[District name]]&amp;" "&amp;Table1[[#This Row],[District number]]</f>
        <v>HUMBLE ISD 101913</v>
      </c>
      <c r="B520" t="s">
        <v>2839</v>
      </c>
      <c r="C520" s="1"/>
      <c r="D520" t="s">
        <v>2840</v>
      </c>
      <c r="E520" s="2" t="s">
        <v>295</v>
      </c>
      <c r="F520" s="137" t="s">
        <v>2841</v>
      </c>
      <c r="G520" s="137" t="s">
        <v>2842</v>
      </c>
      <c r="H520" s="137" t="s">
        <v>2843</v>
      </c>
      <c r="I520" s="113" t="s">
        <v>292</v>
      </c>
      <c r="J520" s="108" t="str">
        <f t="shared" si="8"/>
        <v>101913</v>
      </c>
    </row>
    <row r="521" spans="1:10" ht="15" customHeight="1" x14ac:dyDescent="0.25">
      <c r="A521" t="str">
        <f>Table1[[#This Row],[District name]]&amp;" "&amp;Table1[[#This Row],[District number]]</f>
        <v>HUNT ISD 133902</v>
      </c>
      <c r="B521" t="s">
        <v>2844</v>
      </c>
      <c r="C521" s="1"/>
      <c r="D521" t="s">
        <v>2845</v>
      </c>
      <c r="E521" s="2" t="s">
        <v>376</v>
      </c>
      <c r="F521" s="137" t="s">
        <v>2846</v>
      </c>
      <c r="G521" s="137" t="s">
        <v>2847</v>
      </c>
      <c r="H521" s="137" t="s">
        <v>2848</v>
      </c>
      <c r="I521" s="113" t="s">
        <v>292</v>
      </c>
      <c r="J521" s="108" t="str">
        <f t="shared" si="8"/>
        <v>133902</v>
      </c>
    </row>
    <row r="522" spans="1:10" ht="15" customHeight="1" x14ac:dyDescent="0.25">
      <c r="A522" t="str">
        <f>Table1[[#This Row],[District name]]&amp;" "&amp;Table1[[#This Row],[District number]]</f>
        <v>HUNTINGTON ISD 003904</v>
      </c>
      <c r="B522" t="s">
        <v>2849</v>
      </c>
      <c r="C522" s="1"/>
      <c r="D522" t="s">
        <v>2850</v>
      </c>
      <c r="E522" s="2" t="s">
        <v>383</v>
      </c>
      <c r="F522" s="137" t="s">
        <v>972</v>
      </c>
      <c r="G522" s="137" t="s">
        <v>973</v>
      </c>
      <c r="H522" s="137" t="s">
        <v>2851</v>
      </c>
      <c r="I522" s="113" t="s">
        <v>292</v>
      </c>
      <c r="J522" s="108" t="str">
        <f t="shared" si="8"/>
        <v>003904</v>
      </c>
    </row>
    <row r="523" spans="1:10" ht="15" customHeight="1" x14ac:dyDescent="0.25">
      <c r="A523" t="str">
        <f>Table1[[#This Row],[District name]]&amp;" "&amp;Table1[[#This Row],[District number]]</f>
        <v>HUNTSVILLE ISD 236902</v>
      </c>
      <c r="B523" t="s">
        <v>2852</v>
      </c>
      <c r="C523" s="1"/>
      <c r="D523" t="s">
        <v>2853</v>
      </c>
      <c r="E523" s="2" t="s">
        <v>480</v>
      </c>
      <c r="F523" s="137" t="s">
        <v>2854</v>
      </c>
      <c r="G523" s="137" t="s">
        <v>2855</v>
      </c>
      <c r="H523" s="137" t="s">
        <v>2856</v>
      </c>
      <c r="I523" s="113" t="s">
        <v>292</v>
      </c>
      <c r="J523" s="108" t="str">
        <f t="shared" si="8"/>
        <v>236902</v>
      </c>
    </row>
    <row r="524" spans="1:10" ht="15" customHeight="1" x14ac:dyDescent="0.25">
      <c r="A524" t="str">
        <f>Table1[[#This Row],[District name]]&amp;" "&amp;Table1[[#This Row],[District number]]</f>
        <v>HURST-EULESS-BEDFORD ISD 220916</v>
      </c>
      <c r="B524" t="s">
        <v>2857</v>
      </c>
      <c r="C524" s="1"/>
      <c r="D524" t="s">
        <v>2858</v>
      </c>
      <c r="E524" s="2" t="s">
        <v>402</v>
      </c>
      <c r="F524" s="137" t="s">
        <v>2859</v>
      </c>
      <c r="G524" s="137" t="s">
        <v>2860</v>
      </c>
      <c r="H524" s="137" t="s">
        <v>2861</v>
      </c>
      <c r="I524" s="113" t="s">
        <v>292</v>
      </c>
      <c r="J524" s="108" t="str">
        <f t="shared" si="8"/>
        <v>220916</v>
      </c>
    </row>
    <row r="525" spans="1:10" ht="15" customHeight="1" x14ac:dyDescent="0.25">
      <c r="A525" t="str">
        <f>Table1[[#This Row],[District name]]&amp;" "&amp;Table1[[#This Row],[District number]]</f>
        <v>HUTTO ISD 246906</v>
      </c>
      <c r="B525" t="s">
        <v>2862</v>
      </c>
      <c r="C525" s="1"/>
      <c r="D525" t="s">
        <v>2863</v>
      </c>
      <c r="E525" s="2" t="s">
        <v>598</v>
      </c>
      <c r="F525" s="137" t="s">
        <v>2864</v>
      </c>
      <c r="G525" s="137" t="s">
        <v>2865</v>
      </c>
      <c r="H525" s="137" t="s">
        <v>2866</v>
      </c>
      <c r="I525" s="113" t="s">
        <v>292</v>
      </c>
      <c r="J525" s="108" t="str">
        <f t="shared" si="8"/>
        <v>246906</v>
      </c>
    </row>
    <row r="526" spans="1:10" ht="15" customHeight="1" x14ac:dyDescent="0.25">
      <c r="A526" t="str">
        <f>Table1[[#This Row],[District name]]&amp;" "&amp;Table1[[#This Row],[District number]]</f>
        <v>IDALOU ISD 152910</v>
      </c>
      <c r="B526" t="s">
        <v>2867</v>
      </c>
      <c r="C526" s="1"/>
      <c r="D526" t="s">
        <v>2868</v>
      </c>
      <c r="E526" s="2" t="s">
        <v>308</v>
      </c>
      <c r="F526" s="137" t="s">
        <v>2869</v>
      </c>
      <c r="G526" s="137" t="s">
        <v>2870</v>
      </c>
      <c r="H526" s="137" t="s">
        <v>2871</v>
      </c>
      <c r="I526" s="113" t="s">
        <v>292</v>
      </c>
      <c r="J526" s="108" t="str">
        <f t="shared" si="8"/>
        <v>152910</v>
      </c>
    </row>
    <row r="527" spans="1:10" ht="15" customHeight="1" x14ac:dyDescent="0.25">
      <c r="A527" t="str">
        <f>Table1[[#This Row],[District name]]&amp;" "&amp;Table1[[#This Row],[District number]]</f>
        <v>IDEA PUBLIC SCHOOLS 108807</v>
      </c>
      <c r="B527" t="s">
        <v>2872</v>
      </c>
      <c r="C527" s="1"/>
      <c r="D527" t="s">
        <v>2873</v>
      </c>
      <c r="E527" s="2" t="s">
        <v>982</v>
      </c>
      <c r="F527" s="137" t="s">
        <v>2874</v>
      </c>
      <c r="G527" s="137" t="s">
        <v>2875</v>
      </c>
      <c r="H527" s="137" t="s">
        <v>2876</v>
      </c>
      <c r="I527" s="113" t="s">
        <v>292</v>
      </c>
      <c r="J527" s="108" t="str">
        <f t="shared" si="8"/>
        <v>108807</v>
      </c>
    </row>
    <row r="528" spans="1:10" ht="15" customHeight="1" x14ac:dyDescent="0.25">
      <c r="A528" t="str">
        <f>Table1[[#This Row],[District name]]&amp;" "&amp;Table1[[#This Row],[District number]]</f>
        <v>IMAGINE INTERNATIONAL ACADEMY OF NORTH TEXAS 043801</v>
      </c>
      <c r="B528" t="s">
        <v>2877</v>
      </c>
      <c r="C528" s="1"/>
      <c r="D528" t="s">
        <v>2878</v>
      </c>
      <c r="E528" s="2" t="s">
        <v>288</v>
      </c>
      <c r="F528" s="137" t="s">
        <v>2879</v>
      </c>
      <c r="G528" s="137" t="s">
        <v>1048</v>
      </c>
      <c r="H528" s="137" t="s">
        <v>2880</v>
      </c>
      <c r="I528" s="113" t="s">
        <v>292</v>
      </c>
      <c r="J528" s="108" t="str">
        <f t="shared" si="8"/>
        <v>043801</v>
      </c>
    </row>
    <row r="529" spans="1:10" ht="15" customHeight="1" x14ac:dyDescent="0.25">
      <c r="A529" t="str">
        <f>Table1[[#This Row],[District name]]&amp;" "&amp;Table1[[#This Row],[District number]]</f>
        <v>INDUSTRIAL ISD 120905</v>
      </c>
      <c r="B529" t="s">
        <v>2881</v>
      </c>
      <c r="C529" s="1"/>
      <c r="D529" t="s">
        <v>2882</v>
      </c>
      <c r="E529" s="2" t="s">
        <v>614</v>
      </c>
      <c r="F529" s="137" t="s">
        <v>2883</v>
      </c>
      <c r="G529" s="137" t="s">
        <v>2884</v>
      </c>
      <c r="H529" s="137" t="s">
        <v>2885</v>
      </c>
      <c r="I529" s="113" t="s">
        <v>292</v>
      </c>
      <c r="J529" s="108" t="str">
        <f t="shared" si="8"/>
        <v>120905</v>
      </c>
    </row>
    <row r="530" spans="1:10" ht="15" customHeight="1" x14ac:dyDescent="0.25">
      <c r="A530" t="str">
        <f>Table1[[#This Row],[District name]]&amp;" "&amp;Table1[[#This Row],[District number]]</f>
        <v>INGLESIDE ISD 205903</v>
      </c>
      <c r="B530" t="s">
        <v>2886</v>
      </c>
      <c r="C530" s="1"/>
      <c r="D530" t="s">
        <v>2887</v>
      </c>
      <c r="E530" s="2" t="s">
        <v>369</v>
      </c>
      <c r="F530" s="137" t="s">
        <v>2888</v>
      </c>
      <c r="G530" s="137" t="s">
        <v>2889</v>
      </c>
      <c r="H530" s="137" t="s">
        <v>2890</v>
      </c>
      <c r="I530" s="113" t="s">
        <v>292</v>
      </c>
      <c r="J530" s="108" t="str">
        <f t="shared" si="8"/>
        <v>205903</v>
      </c>
    </row>
    <row r="531" spans="1:10" ht="15" customHeight="1" x14ac:dyDescent="0.25">
      <c r="A531" t="str">
        <f>Table1[[#This Row],[District name]]&amp;" "&amp;Table1[[#This Row],[District number]]</f>
        <v>INGRAM ISD 133904</v>
      </c>
      <c r="B531" t="s">
        <v>2891</v>
      </c>
      <c r="C531" s="1"/>
      <c r="D531" t="s">
        <v>2892</v>
      </c>
      <c r="E531" s="2" t="s">
        <v>376</v>
      </c>
      <c r="F531" s="137" t="s">
        <v>2893</v>
      </c>
      <c r="G531" s="137" t="s">
        <v>2894</v>
      </c>
      <c r="H531" s="137" t="s">
        <v>2895</v>
      </c>
      <c r="I531" s="113" t="s">
        <v>292</v>
      </c>
      <c r="J531" s="108" t="str">
        <f t="shared" si="8"/>
        <v>133904</v>
      </c>
    </row>
    <row r="532" spans="1:10" ht="15" customHeight="1" x14ac:dyDescent="0.25">
      <c r="A532" t="str">
        <f>Table1[[#This Row],[District name]]&amp;" "&amp;Table1[[#This Row],[District number]]</f>
        <v>INSPIRE ACADEMIES 015808</v>
      </c>
      <c r="B532" t="s">
        <v>2896</v>
      </c>
      <c r="C532" s="1"/>
      <c r="D532" t="s">
        <v>2897</v>
      </c>
      <c r="E532" s="2" t="s">
        <v>376</v>
      </c>
      <c r="F532" s="137" t="s">
        <v>2898</v>
      </c>
      <c r="G532" s="137" t="s">
        <v>2899</v>
      </c>
      <c r="H532" s="137" t="s">
        <v>2900</v>
      </c>
      <c r="I532" s="113" t="s">
        <v>292</v>
      </c>
      <c r="J532" s="108" t="str">
        <f t="shared" si="8"/>
        <v>015808</v>
      </c>
    </row>
    <row r="533" spans="1:10" ht="15" customHeight="1" x14ac:dyDescent="0.25">
      <c r="A533" t="str">
        <f>Table1[[#This Row],[District name]]&amp;" "&amp;Table1[[#This Row],[District number]]</f>
        <v>INSPIRED VISION ACADEMY 057830</v>
      </c>
      <c r="B533" t="s">
        <v>2901</v>
      </c>
      <c r="C533" s="1"/>
      <c r="D533" t="s">
        <v>2902</v>
      </c>
      <c r="E533" s="2" t="s">
        <v>288</v>
      </c>
      <c r="F533" s="137" t="s">
        <v>2903</v>
      </c>
      <c r="G533" s="137" t="s">
        <v>2904</v>
      </c>
      <c r="H533" s="137" t="s">
        <v>2905</v>
      </c>
      <c r="I533" s="113" t="s">
        <v>292</v>
      </c>
      <c r="J533" s="108" t="str">
        <f t="shared" si="8"/>
        <v>057830</v>
      </c>
    </row>
    <row r="534" spans="1:10" ht="15" customHeight="1" x14ac:dyDescent="0.25">
      <c r="A534" t="str">
        <f>Table1[[#This Row],[District name]]&amp;" "&amp;Table1[[#This Row],[District number]]</f>
        <v>INTERNATIONAL LEADERSHIP OF TEXAS (ILTEXAS) 057848</v>
      </c>
      <c r="B534" t="s">
        <v>2906</v>
      </c>
      <c r="C534" s="1"/>
      <c r="D534" t="s">
        <v>2907</v>
      </c>
      <c r="E534" s="2" t="s">
        <v>288</v>
      </c>
      <c r="F534" s="137" t="s">
        <v>2908</v>
      </c>
      <c r="G534" s="137" t="s">
        <v>2909</v>
      </c>
      <c r="H534" s="137" t="s">
        <v>2910</v>
      </c>
      <c r="I534" s="113" t="s">
        <v>292</v>
      </c>
      <c r="J534" s="108" t="str">
        <f t="shared" si="8"/>
        <v>057848</v>
      </c>
    </row>
    <row r="535" spans="1:10" ht="15" customHeight="1" x14ac:dyDescent="0.25">
      <c r="A535" t="str">
        <f>Table1[[#This Row],[District name]]&amp;" "&amp;Table1[[#This Row],[District number]]</f>
        <v>IOLA ISD 093903</v>
      </c>
      <c r="B535" t="s">
        <v>2911</v>
      </c>
      <c r="C535" s="1"/>
      <c r="D535" t="s">
        <v>2912</v>
      </c>
      <c r="E535" s="2" t="s">
        <v>480</v>
      </c>
      <c r="F535" s="137" t="s">
        <v>2913</v>
      </c>
      <c r="G535" s="137" t="s">
        <v>2914</v>
      </c>
      <c r="H535" s="137" t="s">
        <v>2915</v>
      </c>
      <c r="I535" s="113" t="s">
        <v>292</v>
      </c>
      <c r="J535" s="108" t="str">
        <f t="shared" si="8"/>
        <v>093903</v>
      </c>
    </row>
    <row r="536" spans="1:10" ht="15" customHeight="1" x14ac:dyDescent="0.25">
      <c r="A536" t="str">
        <f>Table1[[#This Row],[District name]]&amp;" "&amp;Table1[[#This Row],[District number]]</f>
        <v>IOWA PARK CISD 243903</v>
      </c>
      <c r="B536" t="s">
        <v>2916</v>
      </c>
      <c r="C536" s="1"/>
      <c r="D536" t="s">
        <v>2917</v>
      </c>
      <c r="E536" s="2" t="s">
        <v>541</v>
      </c>
      <c r="F536" s="137" t="s">
        <v>2918</v>
      </c>
      <c r="G536" s="137" t="s">
        <v>2919</v>
      </c>
      <c r="H536" s="137" t="s">
        <v>1505</v>
      </c>
      <c r="I536" s="113" t="s">
        <v>292</v>
      </c>
      <c r="J536" s="108" t="str">
        <f t="shared" si="8"/>
        <v>243903</v>
      </c>
    </row>
    <row r="537" spans="1:10" ht="15" customHeight="1" x14ac:dyDescent="0.25">
      <c r="A537" t="str">
        <f>Table1[[#This Row],[District name]]&amp;" "&amp;Table1[[#This Row],[District number]]</f>
        <v>IRA ISD 208903</v>
      </c>
      <c r="B537" t="s">
        <v>2920</v>
      </c>
      <c r="C537" s="1"/>
      <c r="D537" t="s">
        <v>2921</v>
      </c>
      <c r="E537" s="2" t="s">
        <v>314</v>
      </c>
      <c r="F537" s="137" t="s">
        <v>2922</v>
      </c>
      <c r="G537" s="137" t="s">
        <v>2923</v>
      </c>
      <c r="H537" s="137" t="s">
        <v>2924</v>
      </c>
      <c r="I537" s="113" t="s">
        <v>292</v>
      </c>
      <c r="J537" s="108" t="str">
        <f t="shared" si="8"/>
        <v>208903</v>
      </c>
    </row>
    <row r="538" spans="1:10" ht="15" customHeight="1" x14ac:dyDescent="0.25">
      <c r="A538" t="str">
        <f>Table1[[#This Row],[District name]]&amp;" "&amp;Table1[[#This Row],[District number]]</f>
        <v>IRAAN-SHEFFIELD ISD 186903</v>
      </c>
      <c r="B538" t="s">
        <v>2925</v>
      </c>
      <c r="C538" s="1"/>
      <c r="D538" t="s">
        <v>2926</v>
      </c>
      <c r="E538" s="2" t="s">
        <v>430</v>
      </c>
      <c r="F538" s="137" t="s">
        <v>2927</v>
      </c>
      <c r="G538" s="137" t="s">
        <v>2928</v>
      </c>
      <c r="H538" s="137" t="s">
        <v>2929</v>
      </c>
      <c r="I538" s="113" t="s">
        <v>292</v>
      </c>
      <c r="J538" s="108" t="str">
        <f t="shared" si="8"/>
        <v>186903</v>
      </c>
    </row>
    <row r="539" spans="1:10" ht="15" customHeight="1" x14ac:dyDescent="0.25">
      <c r="A539" t="str">
        <f>Table1[[#This Row],[District name]]&amp;" "&amp;Table1[[#This Row],[District number]]</f>
        <v>IREDELL ISD 018906</v>
      </c>
      <c r="B539" t="s">
        <v>2930</v>
      </c>
      <c r="C539" s="1"/>
      <c r="D539" t="s">
        <v>2931</v>
      </c>
      <c r="E539" s="2" t="s">
        <v>301</v>
      </c>
      <c r="F539" s="137" t="s">
        <v>2932</v>
      </c>
      <c r="G539" s="137" t="s">
        <v>2933</v>
      </c>
      <c r="H539" s="137" t="s">
        <v>2934</v>
      </c>
      <c r="I539" s="113" t="s">
        <v>292</v>
      </c>
      <c r="J539" s="108" t="str">
        <f t="shared" si="8"/>
        <v>018906</v>
      </c>
    </row>
    <row r="540" spans="1:10" ht="15" customHeight="1" x14ac:dyDescent="0.25">
      <c r="A540" t="str">
        <f>Table1[[#This Row],[District name]]&amp;" "&amp;Table1[[#This Row],[District number]]</f>
        <v>IRION COUNTY ISD 118902</v>
      </c>
      <c r="B540" t="s">
        <v>2935</v>
      </c>
      <c r="C540" s="1"/>
      <c r="D540" t="s">
        <v>2936</v>
      </c>
      <c r="E540" s="2" t="s">
        <v>650</v>
      </c>
      <c r="F540" s="137" t="s">
        <v>2937</v>
      </c>
      <c r="G540" s="137" t="s">
        <v>2938</v>
      </c>
      <c r="H540" s="137" t="s">
        <v>2939</v>
      </c>
      <c r="I540" s="113" t="s">
        <v>292</v>
      </c>
      <c r="J540" s="108" t="str">
        <f t="shared" si="8"/>
        <v>118902</v>
      </c>
    </row>
    <row r="541" spans="1:10" ht="15" customHeight="1" x14ac:dyDescent="0.25">
      <c r="A541" t="str">
        <f>Table1[[#This Row],[District name]]&amp;" "&amp;Table1[[#This Row],[District number]]</f>
        <v>IRVING ISD 057912</v>
      </c>
      <c r="B541" t="s">
        <v>2940</v>
      </c>
      <c r="C541" s="1"/>
      <c r="D541" t="s">
        <v>2941</v>
      </c>
      <c r="E541" s="2" t="s">
        <v>288</v>
      </c>
      <c r="F541" s="137" t="s">
        <v>2942</v>
      </c>
      <c r="G541" s="137" t="s">
        <v>2943</v>
      </c>
      <c r="H541" s="137" t="s">
        <v>2944</v>
      </c>
      <c r="I541" s="113" t="s">
        <v>292</v>
      </c>
      <c r="J541" s="108" t="str">
        <f t="shared" si="8"/>
        <v>057912</v>
      </c>
    </row>
    <row r="542" spans="1:10" ht="15" customHeight="1" x14ac:dyDescent="0.25">
      <c r="A542" t="str">
        <f>Table1[[#This Row],[District name]]&amp;" "&amp;Table1[[#This Row],[District number]]</f>
        <v>ITALY ISD 070907</v>
      </c>
      <c r="B542" t="s">
        <v>2945</v>
      </c>
      <c r="C542" s="1"/>
      <c r="D542" t="s">
        <v>2946</v>
      </c>
      <c r="E542" s="2" t="s">
        <v>288</v>
      </c>
      <c r="F542" s="137" t="s">
        <v>2947</v>
      </c>
      <c r="G542" s="137" t="s">
        <v>2948</v>
      </c>
      <c r="H542" s="137" t="s">
        <v>2949</v>
      </c>
      <c r="I542" s="113" t="s">
        <v>292</v>
      </c>
      <c r="J542" s="108" t="str">
        <f t="shared" si="8"/>
        <v>070907</v>
      </c>
    </row>
    <row r="543" spans="1:10" ht="15" customHeight="1" x14ac:dyDescent="0.25">
      <c r="A543" t="str">
        <f>Table1[[#This Row],[District name]]&amp;" "&amp;Table1[[#This Row],[District number]]</f>
        <v>ITASCA ISD 109907</v>
      </c>
      <c r="B543" t="s">
        <v>2950</v>
      </c>
      <c r="C543" s="1"/>
      <c r="D543" t="s">
        <v>2951</v>
      </c>
      <c r="E543" s="2" t="s">
        <v>301</v>
      </c>
      <c r="F543" s="137" t="s">
        <v>2952</v>
      </c>
      <c r="G543" s="137" t="s">
        <v>2953</v>
      </c>
      <c r="H543" s="137" t="s">
        <v>2954</v>
      </c>
      <c r="I543" s="113" t="s">
        <v>292</v>
      </c>
      <c r="J543" s="108" t="str">
        <f t="shared" si="8"/>
        <v>109907</v>
      </c>
    </row>
    <row r="544" spans="1:10" ht="15" customHeight="1" x14ac:dyDescent="0.25">
      <c r="A544" t="str">
        <f>Table1[[#This Row],[District name]]&amp;" "&amp;Table1[[#This Row],[District number]]</f>
        <v>JACKSBORO ISD 119902</v>
      </c>
      <c r="B544" t="s">
        <v>2955</v>
      </c>
      <c r="C544" s="1"/>
      <c r="D544" t="s">
        <v>2956</v>
      </c>
      <c r="E544" s="2" t="s">
        <v>541</v>
      </c>
      <c r="F544" s="137" t="s">
        <v>2957</v>
      </c>
      <c r="G544" s="137" t="s">
        <v>2958</v>
      </c>
      <c r="H544" s="137" t="s">
        <v>2959</v>
      </c>
      <c r="I544" s="113" t="s">
        <v>292</v>
      </c>
      <c r="J544" s="108" t="str">
        <f t="shared" si="8"/>
        <v>119902</v>
      </c>
    </row>
    <row r="545" spans="1:10" ht="15" customHeight="1" x14ac:dyDescent="0.25">
      <c r="A545" t="str">
        <f>Table1[[#This Row],[District name]]&amp;" "&amp;Table1[[#This Row],[District number]]</f>
        <v>JACKSONVILLE ISD 037904</v>
      </c>
      <c r="B545" t="s">
        <v>2960</v>
      </c>
      <c r="C545" s="1"/>
      <c r="D545" t="s">
        <v>2961</v>
      </c>
      <c r="E545" s="2" t="s">
        <v>383</v>
      </c>
      <c r="F545" s="137" t="s">
        <v>2962</v>
      </c>
      <c r="G545" s="137" t="s">
        <v>2963</v>
      </c>
      <c r="H545" s="137" t="s">
        <v>2964</v>
      </c>
      <c r="I545" s="113" t="s">
        <v>292</v>
      </c>
      <c r="J545" s="108" t="str">
        <f t="shared" si="8"/>
        <v>037904</v>
      </c>
    </row>
    <row r="546" spans="1:10" ht="15" customHeight="1" x14ac:dyDescent="0.25">
      <c r="A546" t="str">
        <f>Table1[[#This Row],[District name]]&amp;" "&amp;Table1[[#This Row],[District number]]</f>
        <v>JARRELL ISD 246907</v>
      </c>
      <c r="B546" t="s">
        <v>2965</v>
      </c>
      <c r="C546" s="1"/>
      <c r="D546" t="s">
        <v>2966</v>
      </c>
      <c r="E546" s="2" t="s">
        <v>598</v>
      </c>
      <c r="F546" s="137" t="s">
        <v>2967</v>
      </c>
      <c r="G546" s="137" t="s">
        <v>2968</v>
      </c>
      <c r="H546" s="137" t="s">
        <v>2969</v>
      </c>
      <c r="I546" s="113" t="s">
        <v>292</v>
      </c>
      <c r="J546" s="108" t="str">
        <f t="shared" si="8"/>
        <v>246907</v>
      </c>
    </row>
    <row r="547" spans="1:10" ht="15" customHeight="1" x14ac:dyDescent="0.25">
      <c r="A547" t="str">
        <f>Table1[[#This Row],[District name]]&amp;" "&amp;Table1[[#This Row],[District number]]</f>
        <v>JASPER ISD 121904</v>
      </c>
      <c r="B547" t="s">
        <v>2970</v>
      </c>
      <c r="C547" s="1"/>
      <c r="D547" t="s">
        <v>2971</v>
      </c>
      <c r="E547" s="2" t="s">
        <v>706</v>
      </c>
      <c r="F547" s="137" t="s">
        <v>2972</v>
      </c>
      <c r="G547" s="137" t="s">
        <v>2973</v>
      </c>
      <c r="H547" s="137" t="s">
        <v>2974</v>
      </c>
      <c r="I547" s="113" t="s">
        <v>292</v>
      </c>
      <c r="J547" s="108" t="str">
        <f t="shared" si="8"/>
        <v>121904</v>
      </c>
    </row>
    <row r="548" spans="1:10" ht="15" customHeight="1" x14ac:dyDescent="0.25">
      <c r="A548" t="str">
        <f>Table1[[#This Row],[District name]]&amp;" "&amp;Table1[[#This Row],[District number]]</f>
        <v>JAYTON-GIRARD ISD 132902</v>
      </c>
      <c r="B548" t="s">
        <v>2975</v>
      </c>
      <c r="C548" s="1"/>
      <c r="D548" t="s">
        <v>2976</v>
      </c>
      <c r="E548" s="2" t="s">
        <v>308</v>
      </c>
      <c r="F548" s="137" t="s">
        <v>2977</v>
      </c>
      <c r="G548" s="137" t="s">
        <v>2978</v>
      </c>
      <c r="H548" s="137" t="s">
        <v>2979</v>
      </c>
      <c r="I548" s="113" t="s">
        <v>292</v>
      </c>
      <c r="J548" s="108" t="str">
        <f t="shared" si="8"/>
        <v>132902</v>
      </c>
    </row>
    <row r="549" spans="1:10" ht="15" customHeight="1" x14ac:dyDescent="0.25">
      <c r="A549" t="str">
        <f>Table1[[#This Row],[District name]]&amp;" "&amp;Table1[[#This Row],[District number]]</f>
        <v>JEAN MASSIEU ACADEMY 057819</v>
      </c>
      <c r="B549" t="s">
        <v>2980</v>
      </c>
      <c r="C549" s="1"/>
      <c r="D549" t="s">
        <v>2981</v>
      </c>
      <c r="E549" s="2" t="s">
        <v>288</v>
      </c>
      <c r="F549" s="137" t="s">
        <v>2982</v>
      </c>
      <c r="G549" s="137" t="s">
        <v>2983</v>
      </c>
      <c r="H549" s="137" t="s">
        <v>2984</v>
      </c>
      <c r="I549" s="113" t="s">
        <v>292</v>
      </c>
      <c r="J549" s="108" t="str">
        <f t="shared" si="8"/>
        <v>057819</v>
      </c>
    </row>
    <row r="550" spans="1:10" ht="15" customHeight="1" x14ac:dyDescent="0.25">
      <c r="A550" t="str">
        <f>Table1[[#This Row],[District name]]&amp;" "&amp;Table1[[#This Row],[District number]]</f>
        <v>JEFFERSON ISD 155901</v>
      </c>
      <c r="B550" t="s">
        <v>2985</v>
      </c>
      <c r="C550" s="1"/>
      <c r="D550" t="s">
        <v>2986</v>
      </c>
      <c r="E550" s="2" t="s">
        <v>587</v>
      </c>
      <c r="F550" s="137" t="s">
        <v>2987</v>
      </c>
      <c r="G550" s="137" t="s">
        <v>2988</v>
      </c>
      <c r="H550" s="137" t="s">
        <v>2989</v>
      </c>
      <c r="I550" s="113" t="s">
        <v>292</v>
      </c>
      <c r="J550" s="108" t="str">
        <f t="shared" si="8"/>
        <v>155901</v>
      </c>
    </row>
    <row r="551" spans="1:10" ht="15" customHeight="1" x14ac:dyDescent="0.25">
      <c r="A551" t="str">
        <f>Table1[[#This Row],[District name]]&amp;" "&amp;Table1[[#This Row],[District number]]</f>
        <v>JIM HOGG COUNTY ISD 124901</v>
      </c>
      <c r="B551" t="s">
        <v>2990</v>
      </c>
      <c r="C551" s="1"/>
      <c r="D551" t="s">
        <v>2991</v>
      </c>
      <c r="E551" s="2" t="s">
        <v>982</v>
      </c>
      <c r="F551" s="137" t="s">
        <v>2992</v>
      </c>
      <c r="G551" s="137" t="s">
        <v>2993</v>
      </c>
      <c r="H551" s="137" t="s">
        <v>2994</v>
      </c>
      <c r="I551" s="113" t="s">
        <v>292</v>
      </c>
      <c r="J551" s="108" t="str">
        <f t="shared" si="8"/>
        <v>124901</v>
      </c>
    </row>
    <row r="552" spans="1:10" ht="15" customHeight="1" x14ac:dyDescent="0.25">
      <c r="A552" t="str">
        <f>Table1[[#This Row],[District name]]&amp;" "&amp;Table1[[#This Row],[District number]]</f>
        <v>JIM NED CISD 221911</v>
      </c>
      <c r="B552" t="s">
        <v>2995</v>
      </c>
      <c r="C552" s="1"/>
      <c r="D552" t="s">
        <v>2996</v>
      </c>
      <c r="E552" s="2" t="s">
        <v>314</v>
      </c>
      <c r="F552" s="137" t="s">
        <v>2997</v>
      </c>
      <c r="G552" s="137" t="s">
        <v>2998</v>
      </c>
      <c r="H552" s="137" t="s">
        <v>2999</v>
      </c>
      <c r="I552" s="113" t="s">
        <v>292</v>
      </c>
      <c r="J552" s="108" t="str">
        <f t="shared" si="8"/>
        <v>221911</v>
      </c>
    </row>
    <row r="553" spans="1:10" ht="15" customHeight="1" x14ac:dyDescent="0.25">
      <c r="A553" t="str">
        <f>Table1[[#This Row],[District name]]&amp;" "&amp;Table1[[#This Row],[District number]]</f>
        <v>JOAQUIN ISD 210902</v>
      </c>
      <c r="B553" t="s">
        <v>3000</v>
      </c>
      <c r="C553" s="1"/>
      <c r="D553" t="s">
        <v>3001</v>
      </c>
      <c r="E553" s="2" t="s">
        <v>383</v>
      </c>
      <c r="F553" s="137" t="s">
        <v>3002</v>
      </c>
      <c r="G553" s="137" t="s">
        <v>3003</v>
      </c>
      <c r="H553" s="137" t="s">
        <v>3004</v>
      </c>
      <c r="I553" s="113" t="s">
        <v>292</v>
      </c>
      <c r="J553" s="108" t="str">
        <f t="shared" si="8"/>
        <v>210902</v>
      </c>
    </row>
    <row r="554" spans="1:10" ht="15" customHeight="1" x14ac:dyDescent="0.25">
      <c r="A554" t="str">
        <f>Table1[[#This Row],[District name]]&amp;" "&amp;Table1[[#This Row],[District number]]</f>
        <v>JOHNSON CITY ISD 016901</v>
      </c>
      <c r="B554" t="s">
        <v>3005</v>
      </c>
      <c r="C554" s="1"/>
      <c r="D554" t="s">
        <v>3006</v>
      </c>
      <c r="E554" s="2" t="s">
        <v>598</v>
      </c>
      <c r="F554" s="137" t="s">
        <v>3007</v>
      </c>
      <c r="G554" s="137" t="s">
        <v>3008</v>
      </c>
      <c r="H554" s="137" t="s">
        <v>3009</v>
      </c>
      <c r="I554" s="113" t="s">
        <v>292</v>
      </c>
      <c r="J554" s="108" t="str">
        <f t="shared" si="8"/>
        <v>016901</v>
      </c>
    </row>
    <row r="555" spans="1:10" ht="15" customHeight="1" x14ac:dyDescent="0.25">
      <c r="A555" t="str">
        <f>Table1[[#This Row],[District name]]&amp;" "&amp;Table1[[#This Row],[District number]]</f>
        <v>JONESBORO ISD 050909</v>
      </c>
      <c r="B555" t="s">
        <v>3010</v>
      </c>
      <c r="C555" s="1"/>
      <c r="D555" t="s">
        <v>3011</v>
      </c>
      <c r="E555" s="2" t="s">
        <v>301</v>
      </c>
      <c r="F555" s="137" t="s">
        <v>2271</v>
      </c>
      <c r="G555" s="137" t="s">
        <v>3012</v>
      </c>
      <c r="H555" s="137" t="s">
        <v>3013</v>
      </c>
      <c r="I555" s="113" t="s">
        <v>292</v>
      </c>
      <c r="J555" s="108" t="str">
        <f t="shared" si="8"/>
        <v>050909</v>
      </c>
    </row>
    <row r="556" spans="1:10" ht="15" customHeight="1" x14ac:dyDescent="0.25">
      <c r="A556" t="str">
        <f>Table1[[#This Row],[District name]]&amp;" "&amp;Table1[[#This Row],[District number]]</f>
        <v>JOSHUA ISD 126905</v>
      </c>
      <c r="B556" t="s">
        <v>3014</v>
      </c>
      <c r="C556" s="1"/>
      <c r="D556" t="s">
        <v>3015</v>
      </c>
      <c r="E556" s="2" t="s">
        <v>402</v>
      </c>
      <c r="F556" s="137" t="s">
        <v>3016</v>
      </c>
      <c r="G556" s="137" t="s">
        <v>3017</v>
      </c>
      <c r="H556" s="137" t="s">
        <v>3018</v>
      </c>
      <c r="I556" s="113" t="s">
        <v>292</v>
      </c>
      <c r="J556" s="108" t="str">
        <f t="shared" si="8"/>
        <v>126905</v>
      </c>
    </row>
    <row r="557" spans="1:10" ht="15" customHeight="1" x14ac:dyDescent="0.25">
      <c r="A557" t="str">
        <f>Table1[[#This Row],[District name]]&amp;" "&amp;Table1[[#This Row],[District number]]</f>
        <v>JOURDANTON ISD 007902</v>
      </c>
      <c r="B557" t="s">
        <v>3019</v>
      </c>
      <c r="C557" s="1"/>
      <c r="D557" t="s">
        <v>3020</v>
      </c>
      <c r="E557" s="2" t="s">
        <v>376</v>
      </c>
      <c r="F557" s="137" t="s">
        <v>1239</v>
      </c>
      <c r="G557" s="137" t="s">
        <v>3021</v>
      </c>
      <c r="H557" s="137" t="s">
        <v>3022</v>
      </c>
      <c r="I557" s="113" t="s">
        <v>292</v>
      </c>
      <c r="J557" s="108" t="str">
        <f t="shared" si="8"/>
        <v>007902</v>
      </c>
    </row>
    <row r="558" spans="1:10" ht="15" customHeight="1" x14ac:dyDescent="0.25">
      <c r="A558" t="str">
        <f>Table1[[#This Row],[District name]]&amp;" "&amp;Table1[[#This Row],[District number]]</f>
        <v>JUBILEE ACADEMIES 015822</v>
      </c>
      <c r="B558" t="s">
        <v>3023</v>
      </c>
      <c r="C558" s="1"/>
      <c r="D558" t="s">
        <v>3024</v>
      </c>
      <c r="E558" s="2" t="s">
        <v>376</v>
      </c>
      <c r="F558" s="137" t="s">
        <v>3025</v>
      </c>
      <c r="G558" s="137" t="s">
        <v>3026</v>
      </c>
      <c r="H558" s="137" t="s">
        <v>3027</v>
      </c>
      <c r="I558" s="113" t="s">
        <v>292</v>
      </c>
      <c r="J558" s="108" t="str">
        <f t="shared" si="8"/>
        <v>015822</v>
      </c>
    </row>
    <row r="559" spans="1:10" ht="15" customHeight="1" x14ac:dyDescent="0.25">
      <c r="A559" t="str">
        <f>Table1[[#This Row],[District name]]&amp;" "&amp;Table1[[#This Row],[District number]]</f>
        <v>JUDSON ISD 015916</v>
      </c>
      <c r="B559" t="s">
        <v>3028</v>
      </c>
      <c r="C559" s="1"/>
      <c r="D559" t="s">
        <v>3029</v>
      </c>
      <c r="E559" s="2" t="s">
        <v>376</v>
      </c>
      <c r="F559" s="137" t="s">
        <v>3030</v>
      </c>
      <c r="G559" s="137" t="s">
        <v>692</v>
      </c>
      <c r="H559" s="137" t="s">
        <v>3031</v>
      </c>
      <c r="I559" s="113" t="s">
        <v>292</v>
      </c>
      <c r="J559" s="108" t="str">
        <f t="shared" si="8"/>
        <v>015916</v>
      </c>
    </row>
    <row r="560" spans="1:10" ht="15" customHeight="1" x14ac:dyDescent="0.25">
      <c r="A560" t="str">
        <f>Table1[[#This Row],[District name]]&amp;" "&amp;Table1[[#This Row],[District number]]</f>
        <v>JUNCTION ISD 134901</v>
      </c>
      <c r="B560" t="s">
        <v>3032</v>
      </c>
      <c r="C560" s="1"/>
      <c r="D560" t="s">
        <v>3033</v>
      </c>
      <c r="E560" s="2" t="s">
        <v>650</v>
      </c>
      <c r="F560" s="137" t="s">
        <v>3034</v>
      </c>
      <c r="G560" s="137" t="s">
        <v>3035</v>
      </c>
      <c r="H560" s="137" t="s">
        <v>3036</v>
      </c>
      <c r="I560" s="113" t="s">
        <v>292</v>
      </c>
      <c r="J560" s="108" t="str">
        <f t="shared" si="8"/>
        <v>134901</v>
      </c>
    </row>
    <row r="561" spans="1:10" ht="15" customHeight="1" x14ac:dyDescent="0.25">
      <c r="A561" t="str">
        <f>Table1[[#This Row],[District name]]&amp;" "&amp;Table1[[#This Row],[District number]]</f>
        <v>KARNACK ISD 102901</v>
      </c>
      <c r="B561" t="s">
        <v>3037</v>
      </c>
      <c r="C561" s="1"/>
      <c r="D561" t="s">
        <v>3038</v>
      </c>
      <c r="E561" s="2" t="s">
        <v>383</v>
      </c>
      <c r="F561" s="137" t="s">
        <v>1722</v>
      </c>
      <c r="G561" s="137" t="s">
        <v>1723</v>
      </c>
      <c r="H561" s="137" t="s">
        <v>3039</v>
      </c>
      <c r="I561" s="113" t="s">
        <v>292</v>
      </c>
      <c r="J561" s="108" t="str">
        <f t="shared" si="8"/>
        <v>102901</v>
      </c>
    </row>
    <row r="562" spans="1:10" ht="15" customHeight="1" x14ac:dyDescent="0.25">
      <c r="A562" t="str">
        <f>Table1[[#This Row],[District name]]&amp;" "&amp;Table1[[#This Row],[District number]]</f>
        <v>KARNES CITY ISD 128901</v>
      </c>
      <c r="B562" t="s">
        <v>3040</v>
      </c>
      <c r="C562" s="1"/>
      <c r="D562" t="s">
        <v>3041</v>
      </c>
      <c r="E562" s="2" t="s">
        <v>614</v>
      </c>
      <c r="F562" s="137" t="s">
        <v>3042</v>
      </c>
      <c r="G562" s="137" t="s">
        <v>3043</v>
      </c>
      <c r="H562" s="137" t="s">
        <v>3044</v>
      </c>
      <c r="I562" s="113" t="s">
        <v>292</v>
      </c>
      <c r="J562" s="108" t="str">
        <f t="shared" si="8"/>
        <v>128901</v>
      </c>
    </row>
    <row r="563" spans="1:10" ht="15" customHeight="1" x14ac:dyDescent="0.25">
      <c r="A563" t="str">
        <f>Table1[[#This Row],[District name]]&amp;" "&amp;Table1[[#This Row],[District number]]</f>
        <v>KATHERINE ANNE PORTER SCHOOL 105801</v>
      </c>
      <c r="B563" t="s">
        <v>3045</v>
      </c>
      <c r="C563" s="1"/>
      <c r="D563" t="s">
        <v>3046</v>
      </c>
      <c r="E563" s="2" t="s">
        <v>598</v>
      </c>
      <c r="F563" s="137" t="s">
        <v>3047</v>
      </c>
      <c r="G563" s="137" t="s">
        <v>3048</v>
      </c>
      <c r="H563" s="137" t="s">
        <v>3049</v>
      </c>
      <c r="I563" s="113" t="s">
        <v>292</v>
      </c>
      <c r="J563" s="108" t="str">
        <f t="shared" si="8"/>
        <v>105801</v>
      </c>
    </row>
    <row r="564" spans="1:10" ht="15" customHeight="1" x14ac:dyDescent="0.25">
      <c r="A564" t="str">
        <f>Table1[[#This Row],[District name]]&amp;" "&amp;Table1[[#This Row],[District number]]</f>
        <v>KATY ISD 101914</v>
      </c>
      <c r="B564" t="s">
        <v>3050</v>
      </c>
      <c r="C564" s="1"/>
      <c r="D564" t="s">
        <v>3051</v>
      </c>
      <c r="E564" s="2" t="s">
        <v>295</v>
      </c>
      <c r="F564" s="137" t="s">
        <v>3052</v>
      </c>
      <c r="G564" s="137" t="s">
        <v>3053</v>
      </c>
      <c r="H564" s="137" t="s">
        <v>3054</v>
      </c>
      <c r="I564" s="113" t="s">
        <v>292</v>
      </c>
      <c r="J564" s="108" t="str">
        <f t="shared" si="8"/>
        <v>101914</v>
      </c>
    </row>
    <row r="565" spans="1:10" ht="15" customHeight="1" x14ac:dyDescent="0.25">
      <c r="A565" t="str">
        <f>Table1[[#This Row],[District name]]&amp;" "&amp;Table1[[#This Row],[District number]]</f>
        <v>KAUFMAN ISD 129903</v>
      </c>
      <c r="B565" t="s">
        <v>3055</v>
      </c>
      <c r="C565" s="1"/>
      <c r="D565" t="s">
        <v>3056</v>
      </c>
      <c r="E565" s="2" t="s">
        <v>288</v>
      </c>
      <c r="F565" s="137" t="s">
        <v>3057</v>
      </c>
      <c r="G565" s="137" t="s">
        <v>3058</v>
      </c>
      <c r="H565" s="137" t="s">
        <v>3059</v>
      </c>
      <c r="I565" s="113" t="s">
        <v>292</v>
      </c>
      <c r="J565" s="108" t="str">
        <f t="shared" si="8"/>
        <v>129903</v>
      </c>
    </row>
    <row r="566" spans="1:10" ht="15" customHeight="1" x14ac:dyDescent="0.25">
      <c r="A566" t="str">
        <f>Table1[[#This Row],[District name]]&amp;" "&amp;Table1[[#This Row],[District number]]</f>
        <v>KEENE ISD 126906</v>
      </c>
      <c r="B566" t="s">
        <v>3060</v>
      </c>
      <c r="C566" s="1"/>
      <c r="D566" t="s">
        <v>3061</v>
      </c>
      <c r="E566" s="2" t="s">
        <v>402</v>
      </c>
      <c r="F566" s="137" t="s">
        <v>3062</v>
      </c>
      <c r="G566" s="137" t="s">
        <v>3063</v>
      </c>
      <c r="H566" s="137" t="s">
        <v>3064</v>
      </c>
      <c r="I566" s="113" t="s">
        <v>292</v>
      </c>
      <c r="J566" s="108" t="str">
        <f t="shared" si="8"/>
        <v>126906</v>
      </c>
    </row>
    <row r="567" spans="1:10" ht="15" customHeight="1" x14ac:dyDescent="0.25">
      <c r="A567" t="str">
        <f>Table1[[#This Row],[District name]]&amp;" "&amp;Table1[[#This Row],[District number]]</f>
        <v>KELLER ISD 220907</v>
      </c>
      <c r="B567" t="s">
        <v>3065</v>
      </c>
      <c r="C567" s="1"/>
      <c r="D567" t="s">
        <v>3066</v>
      </c>
      <c r="E567" s="2" t="s">
        <v>402</v>
      </c>
      <c r="F567" s="137" t="s">
        <v>3067</v>
      </c>
      <c r="G567" s="137" t="s">
        <v>3068</v>
      </c>
      <c r="H567" s="137" t="s">
        <v>3069</v>
      </c>
      <c r="I567" s="113" t="s">
        <v>292</v>
      </c>
      <c r="J567" s="108" t="str">
        <f t="shared" si="8"/>
        <v>220907</v>
      </c>
    </row>
    <row r="568" spans="1:10" ht="15" customHeight="1" x14ac:dyDescent="0.25">
      <c r="A568" t="str">
        <f>Table1[[#This Row],[District name]]&amp;" "&amp;Table1[[#This Row],[District number]]</f>
        <v>KELTON ISD 242905</v>
      </c>
      <c r="B568" t="s">
        <v>3070</v>
      </c>
      <c r="C568" s="1"/>
      <c r="D568" t="s">
        <v>3071</v>
      </c>
      <c r="E568" s="2" t="s">
        <v>356</v>
      </c>
      <c r="F568" s="137" t="s">
        <v>3072</v>
      </c>
      <c r="G568" s="137" t="s">
        <v>3073</v>
      </c>
      <c r="H568" s="137" t="s">
        <v>3074</v>
      </c>
      <c r="I568" s="113" t="s">
        <v>292</v>
      </c>
      <c r="J568" s="108" t="str">
        <f t="shared" si="8"/>
        <v>242905</v>
      </c>
    </row>
    <row r="569" spans="1:10" ht="15" customHeight="1" x14ac:dyDescent="0.25">
      <c r="A569" t="str">
        <f>Table1[[#This Row],[District name]]&amp;" "&amp;Table1[[#This Row],[District number]]</f>
        <v>KEMP ISD 129904</v>
      </c>
      <c r="B569" t="s">
        <v>3075</v>
      </c>
      <c r="C569" s="1"/>
      <c r="D569" t="s">
        <v>3076</v>
      </c>
      <c r="E569" s="2" t="s">
        <v>288</v>
      </c>
      <c r="F569" s="137" t="s">
        <v>3077</v>
      </c>
      <c r="G569" s="137" t="s">
        <v>3078</v>
      </c>
      <c r="H569" s="137" t="s">
        <v>3079</v>
      </c>
      <c r="I569" s="113" t="s">
        <v>292</v>
      </c>
      <c r="J569" s="108" t="str">
        <f t="shared" si="8"/>
        <v>129904</v>
      </c>
    </row>
    <row r="570" spans="1:10" ht="15" customHeight="1" x14ac:dyDescent="0.25">
      <c r="A570" t="str">
        <f>Table1[[#This Row],[District name]]&amp;" "&amp;Table1[[#This Row],[District number]]</f>
        <v>KENEDY COUNTY WIDE CSD 131001</v>
      </c>
      <c r="B570" t="s">
        <v>3080</v>
      </c>
      <c r="C570" s="1"/>
      <c r="D570" t="s">
        <v>3081</v>
      </c>
      <c r="E570" s="2" t="s">
        <v>369</v>
      </c>
      <c r="F570" s="137" t="s">
        <v>3082</v>
      </c>
      <c r="G570" s="137" t="s">
        <v>3083</v>
      </c>
      <c r="H570" s="137" t="s">
        <v>3084</v>
      </c>
      <c r="I570" s="113" t="s">
        <v>292</v>
      </c>
      <c r="J570" s="108" t="str">
        <f t="shared" si="8"/>
        <v>131001</v>
      </c>
    </row>
    <row r="571" spans="1:10" ht="15" customHeight="1" x14ac:dyDescent="0.25">
      <c r="A571" t="str">
        <f>Table1[[#This Row],[District name]]&amp;" "&amp;Table1[[#This Row],[District number]]</f>
        <v>KENEDY ISD 128902</v>
      </c>
      <c r="B571" t="s">
        <v>3085</v>
      </c>
      <c r="C571" s="1"/>
      <c r="D571" t="s">
        <v>3086</v>
      </c>
      <c r="E571" s="2" t="s">
        <v>614</v>
      </c>
      <c r="F571" s="137" t="s">
        <v>3087</v>
      </c>
      <c r="G571" s="137" t="s">
        <v>3088</v>
      </c>
      <c r="H571" s="137" t="s">
        <v>3089</v>
      </c>
      <c r="I571" s="113" t="s">
        <v>292</v>
      </c>
      <c r="J571" s="108" t="str">
        <f t="shared" si="8"/>
        <v>128902</v>
      </c>
    </row>
    <row r="572" spans="1:10" ht="15" customHeight="1" x14ac:dyDescent="0.25">
      <c r="A572" t="str">
        <f>Table1[[#This Row],[District name]]&amp;" "&amp;Table1[[#This Row],[District number]]</f>
        <v>KENNARD ISD 113906</v>
      </c>
      <c r="B572" t="s">
        <v>3090</v>
      </c>
      <c r="C572" s="1"/>
      <c r="D572" t="s">
        <v>3091</v>
      </c>
      <c r="E572" s="2" t="s">
        <v>480</v>
      </c>
      <c r="F572" s="137" t="s">
        <v>3092</v>
      </c>
      <c r="G572" s="137" t="s">
        <v>3093</v>
      </c>
      <c r="H572" s="137" t="s">
        <v>3094</v>
      </c>
      <c r="I572" s="113" t="s">
        <v>292</v>
      </c>
      <c r="J572" s="108" t="str">
        <f t="shared" si="8"/>
        <v>113906</v>
      </c>
    </row>
    <row r="573" spans="1:10" ht="15" customHeight="1" x14ac:dyDescent="0.25">
      <c r="A573" t="str">
        <f>Table1[[#This Row],[District name]]&amp;" "&amp;Table1[[#This Row],[District number]]</f>
        <v>KENNEDALE ISD 220914</v>
      </c>
      <c r="B573" t="s">
        <v>3095</v>
      </c>
      <c r="C573" s="1"/>
      <c r="D573" t="s">
        <v>3096</v>
      </c>
      <c r="E573" s="2" t="s">
        <v>402</v>
      </c>
      <c r="F573" s="137" t="s">
        <v>3097</v>
      </c>
      <c r="G573" s="137" t="s">
        <v>3098</v>
      </c>
      <c r="H573" s="137" t="s">
        <v>3099</v>
      </c>
      <c r="I573" s="113" t="s">
        <v>292</v>
      </c>
      <c r="J573" s="108" t="str">
        <f t="shared" si="8"/>
        <v>220914</v>
      </c>
    </row>
    <row r="574" spans="1:10" ht="15" customHeight="1" x14ac:dyDescent="0.25">
      <c r="A574" t="str">
        <f>Table1[[#This Row],[District name]]&amp;" "&amp;Table1[[#This Row],[District number]]</f>
        <v>KERENS ISD 175907</v>
      </c>
      <c r="B574" t="s">
        <v>3100</v>
      </c>
      <c r="C574" s="1"/>
      <c r="D574" t="s">
        <v>3101</v>
      </c>
      <c r="E574" s="2" t="s">
        <v>301</v>
      </c>
      <c r="F574" s="137" t="s">
        <v>3102</v>
      </c>
      <c r="G574" s="137" t="s">
        <v>3103</v>
      </c>
      <c r="H574" s="137" t="s">
        <v>3104</v>
      </c>
      <c r="I574" s="113" t="s">
        <v>292</v>
      </c>
      <c r="J574" s="108" t="str">
        <f t="shared" si="8"/>
        <v>175907</v>
      </c>
    </row>
    <row r="575" spans="1:10" ht="15" customHeight="1" x14ac:dyDescent="0.25">
      <c r="A575" t="str">
        <f>Table1[[#This Row],[District name]]&amp;" "&amp;Table1[[#This Row],[District number]]</f>
        <v>KERMIT ISD 248901</v>
      </c>
      <c r="B575" t="s">
        <v>3105</v>
      </c>
      <c r="C575" s="1"/>
      <c r="D575" t="s">
        <v>3106</v>
      </c>
      <c r="E575" s="2" t="s">
        <v>430</v>
      </c>
      <c r="F575" s="137" t="s">
        <v>3107</v>
      </c>
      <c r="G575" s="137" t="s">
        <v>3108</v>
      </c>
      <c r="H575" s="137" t="s">
        <v>3109</v>
      </c>
      <c r="I575" s="113" t="s">
        <v>292</v>
      </c>
      <c r="J575" s="108" t="str">
        <f t="shared" si="8"/>
        <v>248901</v>
      </c>
    </row>
    <row r="576" spans="1:10" ht="15" customHeight="1" x14ac:dyDescent="0.25">
      <c r="A576" t="str">
        <f>Table1[[#This Row],[District name]]&amp;" "&amp;Table1[[#This Row],[District number]]</f>
        <v>KERRVILLE ISD 133903</v>
      </c>
      <c r="B576" t="s">
        <v>3110</v>
      </c>
      <c r="C576" s="1"/>
      <c r="D576" t="s">
        <v>3111</v>
      </c>
      <c r="E576" s="2" t="s">
        <v>376</v>
      </c>
      <c r="F576" s="137" t="s">
        <v>3112</v>
      </c>
      <c r="G576" s="137" t="s">
        <v>3113</v>
      </c>
      <c r="H576" s="137" t="s">
        <v>3114</v>
      </c>
      <c r="I576" s="113" t="s">
        <v>292</v>
      </c>
      <c r="J576" s="108" t="str">
        <f t="shared" si="8"/>
        <v>133903</v>
      </c>
    </row>
    <row r="577" spans="1:10" ht="15" customHeight="1" x14ac:dyDescent="0.25">
      <c r="A577" t="str">
        <f>Table1[[#This Row],[District name]]&amp;" "&amp;Table1[[#This Row],[District number]]</f>
        <v>KI CHARTER ACADEMY 105803</v>
      </c>
      <c r="B577" t="s">
        <v>3115</v>
      </c>
      <c r="C577" s="1"/>
      <c r="D577" t="s">
        <v>3116</v>
      </c>
      <c r="E577" s="2" t="s">
        <v>598</v>
      </c>
      <c r="F577" s="137" t="s">
        <v>3117</v>
      </c>
      <c r="G577" s="137" t="s">
        <v>3118</v>
      </c>
      <c r="H577" s="137" t="s">
        <v>3119</v>
      </c>
      <c r="I577" s="113" t="s">
        <v>292</v>
      </c>
      <c r="J577" s="108" t="str">
        <f t="shared" si="8"/>
        <v>105803</v>
      </c>
    </row>
    <row r="578" spans="1:10" ht="15" customHeight="1" x14ac:dyDescent="0.25">
      <c r="A578" t="str">
        <f>Table1[[#This Row],[District name]]&amp;" "&amp;Table1[[#This Row],[District number]]</f>
        <v>KILGORE ISD 092902</v>
      </c>
      <c r="B578" t="s">
        <v>3120</v>
      </c>
      <c r="C578" s="1"/>
      <c r="D578" t="s">
        <v>3121</v>
      </c>
      <c r="E578" s="2" t="s">
        <v>383</v>
      </c>
      <c r="F578" s="137" t="s">
        <v>3122</v>
      </c>
      <c r="G578" s="137" t="s">
        <v>3123</v>
      </c>
      <c r="H578" s="137" t="s">
        <v>3124</v>
      </c>
      <c r="I578" s="113" t="s">
        <v>292</v>
      </c>
      <c r="J578" s="108" t="str">
        <f t="shared" si="8"/>
        <v>092902</v>
      </c>
    </row>
    <row r="579" spans="1:10" ht="15" customHeight="1" x14ac:dyDescent="0.25">
      <c r="A579" t="str">
        <f>Table1[[#This Row],[District name]]&amp;" "&amp;Table1[[#This Row],[District number]]</f>
        <v>KILLEEN ISD 014906</v>
      </c>
      <c r="B579" t="s">
        <v>3125</v>
      </c>
      <c r="C579" s="1"/>
      <c r="D579" t="s">
        <v>3126</v>
      </c>
      <c r="E579" s="2" t="s">
        <v>301</v>
      </c>
      <c r="F579" s="137" t="s">
        <v>3127</v>
      </c>
      <c r="G579" s="137" t="s">
        <v>3128</v>
      </c>
      <c r="H579" s="137" t="s">
        <v>3129</v>
      </c>
      <c r="I579" s="113" t="s">
        <v>292</v>
      </c>
      <c r="J579" s="108" t="str">
        <f t="shared" si="8"/>
        <v>014906</v>
      </c>
    </row>
    <row r="580" spans="1:10" ht="15" customHeight="1" x14ac:dyDescent="0.25">
      <c r="A580" t="str">
        <f>Table1[[#This Row],[District name]]&amp;" "&amp;Table1[[#This Row],[District number]]</f>
        <v>KINGSVILLE ISD 137901</v>
      </c>
      <c r="B580" t="s">
        <v>3130</v>
      </c>
      <c r="C580" s="1"/>
      <c r="D580" t="s">
        <v>3131</v>
      </c>
      <c r="E580" s="2" t="s">
        <v>369</v>
      </c>
      <c r="F580" s="137" t="s">
        <v>3132</v>
      </c>
      <c r="G580" s="137" t="s">
        <v>3133</v>
      </c>
      <c r="H580" s="137" t="s">
        <v>3134</v>
      </c>
      <c r="I580" s="113" t="s">
        <v>292</v>
      </c>
      <c r="J580" s="108" t="str">
        <f t="shared" si="8"/>
        <v>137901</v>
      </c>
    </row>
    <row r="581" spans="1:10" ht="15" customHeight="1" x14ac:dyDescent="0.25">
      <c r="A581" t="str">
        <f>Table1[[#This Row],[District name]]&amp;" "&amp;Table1[[#This Row],[District number]]</f>
        <v>KIPP TEXAS PUBLIC SCHOOLS 227820</v>
      </c>
      <c r="B581" t="s">
        <v>3135</v>
      </c>
      <c r="C581" s="1"/>
      <c r="D581" t="s">
        <v>3136</v>
      </c>
      <c r="E581" s="2" t="s">
        <v>598</v>
      </c>
      <c r="F581" s="137" t="s">
        <v>3137</v>
      </c>
      <c r="G581" s="137" t="s">
        <v>3138</v>
      </c>
      <c r="H581" s="137" t="s">
        <v>3139</v>
      </c>
      <c r="I581" s="113" t="s">
        <v>292</v>
      </c>
      <c r="J581" s="108" t="str">
        <f t="shared" ref="J581:J645" si="9">LEFT(B581,6)</f>
        <v>227820</v>
      </c>
    </row>
    <row r="582" spans="1:10" ht="15" customHeight="1" x14ac:dyDescent="0.25">
      <c r="A582" t="str">
        <f>Table1[[#This Row],[District name]]&amp;" "&amp;Table1[[#This Row],[District number]]</f>
        <v>KIRBYVILLE CISD 121905</v>
      </c>
      <c r="B582" t="s">
        <v>3140</v>
      </c>
      <c r="C582" s="1"/>
      <c r="D582" t="s">
        <v>3141</v>
      </c>
      <c r="E582" s="2" t="s">
        <v>706</v>
      </c>
      <c r="F582" s="137" t="s">
        <v>3142</v>
      </c>
      <c r="G582" s="137" t="s">
        <v>3143</v>
      </c>
      <c r="H582" s="137" t="s">
        <v>3144</v>
      </c>
      <c r="I582" s="113" t="s">
        <v>292</v>
      </c>
      <c r="J582" s="108" t="str">
        <f t="shared" si="9"/>
        <v>121905</v>
      </c>
    </row>
    <row r="583" spans="1:10" ht="15" customHeight="1" x14ac:dyDescent="0.25">
      <c r="A583" t="str">
        <f>Table1[[#This Row],[District name]]&amp;" "&amp;Table1[[#This Row],[District number]]</f>
        <v>KLEIN ISD 101915</v>
      </c>
      <c r="B583" t="s">
        <v>3145</v>
      </c>
      <c r="C583" s="1"/>
      <c r="D583" t="s">
        <v>3146</v>
      </c>
      <c r="E583" s="2" t="s">
        <v>295</v>
      </c>
      <c r="F583" s="137" t="s">
        <v>3147</v>
      </c>
      <c r="G583" s="137" t="s">
        <v>3148</v>
      </c>
      <c r="H583" s="137" t="s">
        <v>3149</v>
      </c>
      <c r="I583" s="113" t="s">
        <v>292</v>
      </c>
      <c r="J583" s="108" t="str">
        <f t="shared" si="9"/>
        <v>101915</v>
      </c>
    </row>
    <row r="584" spans="1:10" ht="15" customHeight="1" x14ac:dyDescent="0.25">
      <c r="A584" t="str">
        <f>Table1[[#This Row],[District name]]&amp;" "&amp;Table1[[#This Row],[District number]]</f>
        <v>KLONDIKE ISD 058905</v>
      </c>
      <c r="B584" t="s">
        <v>3150</v>
      </c>
      <c r="C584" s="1"/>
      <c r="D584" t="s">
        <v>3151</v>
      </c>
      <c r="E584" s="2" t="s">
        <v>308</v>
      </c>
      <c r="F584" s="137" t="s">
        <v>3152</v>
      </c>
      <c r="G584" s="137" t="s">
        <v>3153</v>
      </c>
      <c r="H584" s="137" t="s">
        <v>3154</v>
      </c>
      <c r="I584" s="113" t="s">
        <v>292</v>
      </c>
      <c r="J584" s="108" t="str">
        <f t="shared" si="9"/>
        <v>058905</v>
      </c>
    </row>
    <row r="585" spans="1:10" ht="15" customHeight="1" x14ac:dyDescent="0.25">
      <c r="A585" t="str">
        <f>Table1[[#This Row],[District name]]&amp;" "&amp;Table1[[#This Row],[District number]]</f>
        <v>KNIPPA ISD 232901</v>
      </c>
      <c r="B585" t="s">
        <v>3155</v>
      </c>
      <c r="C585" s="1"/>
      <c r="D585" t="s">
        <v>3156</v>
      </c>
      <c r="E585" s="2" t="s">
        <v>376</v>
      </c>
      <c r="F585" s="137" t="s">
        <v>3157</v>
      </c>
      <c r="G585" s="137" t="s">
        <v>3158</v>
      </c>
      <c r="H585" s="137" t="s">
        <v>3159</v>
      </c>
      <c r="I585" s="113" t="s">
        <v>292</v>
      </c>
      <c r="J585" s="108" t="str">
        <f t="shared" si="9"/>
        <v>232901</v>
      </c>
    </row>
    <row r="586" spans="1:10" ht="15" customHeight="1" x14ac:dyDescent="0.25">
      <c r="A586" t="str">
        <f>Table1[[#This Row],[District name]]&amp;" "&amp;Table1[[#This Row],[District number]]</f>
        <v>KNOX CITY-O'BRIEN CISD 138902</v>
      </c>
      <c r="B586" t="s">
        <v>3160</v>
      </c>
      <c r="C586" s="1"/>
      <c r="D586" t="s">
        <v>3161</v>
      </c>
      <c r="E586" s="2" t="s">
        <v>541</v>
      </c>
      <c r="F586" s="137" t="s">
        <v>3162</v>
      </c>
      <c r="G586" s="137" t="s">
        <v>3163</v>
      </c>
      <c r="H586" s="137" t="s">
        <v>3164</v>
      </c>
      <c r="I586" s="113" t="s">
        <v>292</v>
      </c>
      <c r="J586" s="108" t="str">
        <f t="shared" si="9"/>
        <v>138902</v>
      </c>
    </row>
    <row r="587" spans="1:10" ht="15" customHeight="1" x14ac:dyDescent="0.25">
      <c r="A587" t="str">
        <f>Table1[[#This Row],[District name]]&amp;" "&amp;Table1[[#This Row],[District number]]</f>
        <v>KOPPERL ISD 018907</v>
      </c>
      <c r="B587" t="s">
        <v>3165</v>
      </c>
      <c r="C587" s="1"/>
      <c r="D587" t="s">
        <v>3166</v>
      </c>
      <c r="E587" s="2" t="s">
        <v>301</v>
      </c>
      <c r="F587" s="137" t="s">
        <v>3167</v>
      </c>
      <c r="G587" s="137" t="s">
        <v>3168</v>
      </c>
      <c r="H587" s="137" t="s">
        <v>3169</v>
      </c>
      <c r="I587" s="113" t="s">
        <v>292</v>
      </c>
      <c r="J587" s="108" t="str">
        <f t="shared" si="9"/>
        <v>018907</v>
      </c>
    </row>
    <row r="588" spans="1:10" ht="15" customHeight="1" x14ac:dyDescent="0.25">
      <c r="A588" t="str">
        <f>Table1[[#This Row],[District name]]&amp;" "&amp;Table1[[#This Row],[District number]]</f>
        <v>KOUNTZE ISD 100903</v>
      </c>
      <c r="B588" t="s">
        <v>3170</v>
      </c>
      <c r="C588" s="1"/>
      <c r="D588" t="s">
        <v>3171</v>
      </c>
      <c r="E588" s="2" t="s">
        <v>706</v>
      </c>
      <c r="F588" s="137" t="s">
        <v>3172</v>
      </c>
      <c r="G588" s="137" t="s">
        <v>3173</v>
      </c>
      <c r="H588" s="137" t="s">
        <v>3174</v>
      </c>
      <c r="I588" s="113" t="s">
        <v>292</v>
      </c>
      <c r="J588" s="108" t="str">
        <f t="shared" si="9"/>
        <v>100903</v>
      </c>
    </row>
    <row r="589" spans="1:10" ht="15" customHeight="1" x14ac:dyDescent="0.25">
      <c r="A589" t="str">
        <f>Table1[[#This Row],[District name]]&amp;" "&amp;Table1[[#This Row],[District number]]</f>
        <v>KRESS ISD 219905</v>
      </c>
      <c r="B589" t="s">
        <v>3175</v>
      </c>
      <c r="C589" s="1"/>
      <c r="D589" t="s">
        <v>3176</v>
      </c>
      <c r="E589" s="2" t="s">
        <v>356</v>
      </c>
      <c r="F589" s="137" t="s">
        <v>3177</v>
      </c>
      <c r="G589" s="137" t="s">
        <v>3178</v>
      </c>
      <c r="H589" s="137" t="s">
        <v>3179</v>
      </c>
      <c r="I589" s="113" t="s">
        <v>292</v>
      </c>
      <c r="J589" s="108" t="str">
        <f t="shared" si="9"/>
        <v>219905</v>
      </c>
    </row>
    <row r="590" spans="1:10" ht="15" customHeight="1" x14ac:dyDescent="0.25">
      <c r="A590" t="str">
        <f>Table1[[#This Row],[District name]]&amp;" "&amp;Table1[[#This Row],[District number]]</f>
        <v>KRUM ISD 061905</v>
      </c>
      <c r="B590" t="s">
        <v>3180</v>
      </c>
      <c r="C590" s="1"/>
      <c r="D590" t="s">
        <v>3181</v>
      </c>
      <c r="E590" s="2" t="s">
        <v>402</v>
      </c>
      <c r="F590" s="137" t="s">
        <v>3182</v>
      </c>
      <c r="G590" s="137" t="s">
        <v>3183</v>
      </c>
      <c r="H590" s="137" t="s">
        <v>3184</v>
      </c>
      <c r="I590" s="113" t="s">
        <v>292</v>
      </c>
      <c r="J590" s="108" t="str">
        <f t="shared" si="9"/>
        <v>061905</v>
      </c>
    </row>
    <row r="591" spans="1:10" ht="15" customHeight="1" x14ac:dyDescent="0.25">
      <c r="A591" t="str">
        <f>Table1[[#This Row],[District name]]&amp;" "&amp;Table1[[#This Row],[District number]]</f>
        <v>LA ACADEMIA DE ESTRELLAS 057839</v>
      </c>
      <c r="B591" t="s">
        <v>3185</v>
      </c>
      <c r="C591" s="1"/>
      <c r="D591" t="s">
        <v>3186</v>
      </c>
      <c r="E591" s="2" t="s">
        <v>288</v>
      </c>
      <c r="F591" s="137" t="s">
        <v>3187</v>
      </c>
      <c r="G591" s="137" t="s">
        <v>3188</v>
      </c>
      <c r="H591" s="137" t="s">
        <v>3189</v>
      </c>
      <c r="I591" s="113" t="s">
        <v>292</v>
      </c>
      <c r="J591" s="108" t="str">
        <f t="shared" si="9"/>
        <v>057839</v>
      </c>
    </row>
    <row r="592" spans="1:10" ht="15" customHeight="1" x14ac:dyDescent="0.25">
      <c r="A592" t="str">
        <f>Table1[[#This Row],[District name]]&amp;" "&amp;Table1[[#This Row],[District number]]</f>
        <v>LA FE PREPARATORY SCHOOL 071807</v>
      </c>
      <c r="B592" t="s">
        <v>3190</v>
      </c>
      <c r="C592" s="1"/>
      <c r="D592" t="s">
        <v>3191</v>
      </c>
      <c r="E592" s="2" t="s">
        <v>507</v>
      </c>
      <c r="F592" s="137" t="s">
        <v>3192</v>
      </c>
      <c r="G592" s="137" t="s">
        <v>3193</v>
      </c>
      <c r="H592" s="137" t="s">
        <v>3194</v>
      </c>
      <c r="I592" s="113" t="s">
        <v>292</v>
      </c>
      <c r="J592" s="108" t="str">
        <f t="shared" si="9"/>
        <v>071807</v>
      </c>
    </row>
    <row r="593" spans="1:10" ht="15" customHeight="1" x14ac:dyDescent="0.25">
      <c r="A593" t="str">
        <f>Table1[[#This Row],[District name]]&amp;" "&amp;Table1[[#This Row],[District number]]</f>
        <v>LA FERIA ISD 031905</v>
      </c>
      <c r="B593" t="s">
        <v>3195</v>
      </c>
      <c r="C593" s="1"/>
      <c r="D593" t="s">
        <v>3196</v>
      </c>
      <c r="E593" s="2" t="s">
        <v>982</v>
      </c>
      <c r="F593" s="137" t="s">
        <v>3197</v>
      </c>
      <c r="G593" s="137" t="s">
        <v>3198</v>
      </c>
      <c r="H593" s="137" t="s">
        <v>3199</v>
      </c>
      <c r="I593" s="113" t="s">
        <v>292</v>
      </c>
      <c r="J593" s="108" t="str">
        <f t="shared" si="9"/>
        <v>031905</v>
      </c>
    </row>
    <row r="594" spans="1:10" ht="15" customHeight="1" x14ac:dyDescent="0.25">
      <c r="A594" t="str">
        <f>Table1[[#This Row],[District name]]&amp;" "&amp;Table1[[#This Row],[District number]]</f>
        <v>LA GLORIA ISD 125906</v>
      </c>
      <c r="B594" t="s">
        <v>3200</v>
      </c>
      <c r="C594" s="1"/>
      <c r="D594" t="s">
        <v>3201</v>
      </c>
      <c r="E594" s="2" t="s">
        <v>369</v>
      </c>
      <c r="F594" s="137" t="s">
        <v>3202</v>
      </c>
      <c r="G594" s="137" t="s">
        <v>3203</v>
      </c>
      <c r="H594" s="137" t="s">
        <v>3204</v>
      </c>
      <c r="I594" s="113" t="s">
        <v>292</v>
      </c>
      <c r="J594" s="108" t="str">
        <f t="shared" si="9"/>
        <v>125906</v>
      </c>
    </row>
    <row r="595" spans="1:10" ht="15" customHeight="1" x14ac:dyDescent="0.25">
      <c r="A595" t="str">
        <f>Table1[[#This Row],[District name]]&amp;" "&amp;Table1[[#This Row],[District number]]</f>
        <v>LA GRANGE ISD 075902</v>
      </c>
      <c r="B595" t="s">
        <v>3205</v>
      </c>
      <c r="C595" s="1"/>
      <c r="D595" t="s">
        <v>3206</v>
      </c>
      <c r="E595" s="2" t="s">
        <v>598</v>
      </c>
      <c r="F595" s="137" t="s">
        <v>3207</v>
      </c>
      <c r="G595" s="137" t="s">
        <v>3208</v>
      </c>
      <c r="H595" s="137" t="s">
        <v>3209</v>
      </c>
      <c r="I595" s="113" t="s">
        <v>292</v>
      </c>
      <c r="J595" s="108" t="str">
        <f t="shared" si="9"/>
        <v>075902</v>
      </c>
    </row>
    <row r="596" spans="1:10" ht="15" customHeight="1" x14ac:dyDescent="0.25">
      <c r="A596" t="str">
        <f>Table1[[#This Row],[District name]]&amp;" "&amp;Table1[[#This Row],[District number]]</f>
        <v>LA JOYA ISD 108912</v>
      </c>
      <c r="B596" t="s">
        <v>3210</v>
      </c>
      <c r="C596" s="1"/>
      <c r="D596" t="s">
        <v>3211</v>
      </c>
      <c r="E596" s="2" t="s">
        <v>982</v>
      </c>
      <c r="F596" s="137" t="s">
        <v>3092</v>
      </c>
      <c r="G596" s="137" t="s">
        <v>3212</v>
      </c>
      <c r="H596" s="137" t="s">
        <v>3213</v>
      </c>
      <c r="I596" s="113" t="s">
        <v>292</v>
      </c>
      <c r="J596" s="108" t="str">
        <f t="shared" si="9"/>
        <v>108912</v>
      </c>
    </row>
    <row r="597" spans="1:10" ht="15" customHeight="1" x14ac:dyDescent="0.25">
      <c r="A597" t="str">
        <f>Table1[[#This Row],[District name]]&amp;" "&amp;Table1[[#This Row],[District number]]</f>
        <v>LA PORTE ISD 101916</v>
      </c>
      <c r="B597" t="s">
        <v>3214</v>
      </c>
      <c r="C597" s="1"/>
      <c r="D597" t="s">
        <v>3215</v>
      </c>
      <c r="E597" s="2" t="s">
        <v>295</v>
      </c>
      <c r="F597" s="137" t="s">
        <v>3216</v>
      </c>
      <c r="G597" s="137" t="s">
        <v>3217</v>
      </c>
      <c r="H597" s="137" t="s">
        <v>3218</v>
      </c>
      <c r="I597" s="113" t="s">
        <v>292</v>
      </c>
      <c r="J597" s="108" t="str">
        <f t="shared" si="9"/>
        <v>101916</v>
      </c>
    </row>
    <row r="598" spans="1:10" ht="15" customHeight="1" x14ac:dyDescent="0.25">
      <c r="A598" t="str">
        <f>Table1[[#This Row],[District name]]&amp;" "&amp;Table1[[#This Row],[District number]]</f>
        <v>LA PRYOR ISD 254902</v>
      </c>
      <c r="B598" s="138" t="s">
        <v>3219</v>
      </c>
      <c r="C598" s="1"/>
      <c r="D598" t="s">
        <v>3220</v>
      </c>
      <c r="E598" s="2" t="s">
        <v>376</v>
      </c>
      <c r="F598" s="137" t="s">
        <v>3221</v>
      </c>
      <c r="G598" s="137" t="s">
        <v>1705</v>
      </c>
      <c r="H598" s="137" t="s">
        <v>3222</v>
      </c>
      <c r="I598" s="113" t="s">
        <v>292</v>
      </c>
      <c r="J598" s="108" t="str">
        <f t="shared" si="9"/>
        <v>254902</v>
      </c>
    </row>
    <row r="599" spans="1:10" ht="15" customHeight="1" x14ac:dyDescent="0.25">
      <c r="A599" t="str">
        <f>Table1[[#This Row],[District name]]&amp;" "&amp;Table1[[#This Row],[District number]]</f>
        <v>LA VEGA ISD 161906</v>
      </c>
      <c r="B599" t="s">
        <v>3223</v>
      </c>
      <c r="C599" s="1"/>
      <c r="D599" t="s">
        <v>3224</v>
      </c>
      <c r="E599" s="2" t="s">
        <v>301</v>
      </c>
      <c r="F599" s="137" t="s">
        <v>3225</v>
      </c>
      <c r="G599" s="137" t="s">
        <v>3226</v>
      </c>
      <c r="H599" s="137" t="s">
        <v>3227</v>
      </c>
      <c r="I599" s="113" t="s">
        <v>292</v>
      </c>
      <c r="J599" s="108" t="str">
        <f t="shared" si="9"/>
        <v>161906</v>
      </c>
    </row>
    <row r="600" spans="1:10" ht="15" customHeight="1" x14ac:dyDescent="0.25">
      <c r="A600" t="str">
        <f>Table1[[#This Row],[District name]]&amp;" "&amp;Table1[[#This Row],[District number]]</f>
        <v>LA VERNIA ISD 247903</v>
      </c>
      <c r="B600" t="s">
        <v>3228</v>
      </c>
      <c r="C600" s="1"/>
      <c r="D600" t="s">
        <v>3229</v>
      </c>
      <c r="E600" s="2" t="s">
        <v>376</v>
      </c>
      <c r="F600" s="137" t="s">
        <v>3230</v>
      </c>
      <c r="G600" s="137" t="s">
        <v>3231</v>
      </c>
      <c r="H600" s="137" t="s">
        <v>3232</v>
      </c>
      <c r="I600" s="113" t="s">
        <v>292</v>
      </c>
      <c r="J600" s="108" t="str">
        <f t="shared" si="9"/>
        <v>247903</v>
      </c>
    </row>
    <row r="601" spans="1:10" ht="15" customHeight="1" x14ac:dyDescent="0.25">
      <c r="A601" t="str">
        <f>Table1[[#This Row],[District name]]&amp;" "&amp;Table1[[#This Row],[District number]]</f>
        <v>LA VILLA ISD 108914</v>
      </c>
      <c r="B601" t="s">
        <v>3233</v>
      </c>
      <c r="C601" s="1"/>
      <c r="D601" t="s">
        <v>3234</v>
      </c>
      <c r="E601" s="2" t="s">
        <v>982</v>
      </c>
      <c r="F601" s="137" t="s">
        <v>3235</v>
      </c>
      <c r="G601" s="137" t="s">
        <v>3236</v>
      </c>
      <c r="H601" s="137" t="s">
        <v>3237</v>
      </c>
      <c r="I601" s="113" t="s">
        <v>292</v>
      </c>
      <c r="J601" s="108" t="str">
        <f t="shared" si="9"/>
        <v>108914</v>
      </c>
    </row>
    <row r="602" spans="1:10" ht="15" customHeight="1" x14ac:dyDescent="0.25">
      <c r="A602" t="str">
        <f>Table1[[#This Row],[District name]]&amp;" "&amp;Table1[[#This Row],[District number]]</f>
        <v>LACKLAND ISD 015913</v>
      </c>
      <c r="B602" t="s">
        <v>3238</v>
      </c>
      <c r="C602" s="1"/>
      <c r="D602" t="s">
        <v>3239</v>
      </c>
      <c r="E602" s="2" t="s">
        <v>376</v>
      </c>
      <c r="F602" s="137" t="s">
        <v>3240</v>
      </c>
      <c r="G602" s="137" t="s">
        <v>3241</v>
      </c>
      <c r="H602" s="137" t="s">
        <v>3242</v>
      </c>
      <c r="I602" s="113" t="s">
        <v>292</v>
      </c>
      <c r="J602" s="108" t="str">
        <f t="shared" si="9"/>
        <v>015913</v>
      </c>
    </row>
    <row r="603" spans="1:10" ht="15" customHeight="1" x14ac:dyDescent="0.25">
      <c r="A603" t="str">
        <f>Table1[[#This Row],[District name]]&amp;" "&amp;Table1[[#This Row],[District number]]</f>
        <v>LAGO VISTA ISD 227912</v>
      </c>
      <c r="B603" t="s">
        <v>3243</v>
      </c>
      <c r="C603" s="1"/>
      <c r="D603" t="s">
        <v>3244</v>
      </c>
      <c r="E603" s="2" t="s">
        <v>598</v>
      </c>
      <c r="F603" s="137" t="s">
        <v>3245</v>
      </c>
      <c r="G603" s="137" t="s">
        <v>3246</v>
      </c>
      <c r="H603" s="137" t="s">
        <v>3247</v>
      </c>
      <c r="I603" s="113" t="s">
        <v>292</v>
      </c>
      <c r="J603" s="108" t="str">
        <f t="shared" si="9"/>
        <v>227912</v>
      </c>
    </row>
    <row r="604" spans="1:10" ht="15" customHeight="1" x14ac:dyDescent="0.25">
      <c r="A604" t="str">
        <f>Table1[[#This Row],[District name]]&amp;" "&amp;Table1[[#This Row],[District number]]</f>
        <v>LAKE DALLAS ISD 061912</v>
      </c>
      <c r="B604" t="s">
        <v>3248</v>
      </c>
      <c r="C604" s="1"/>
      <c r="D604" t="s">
        <v>3249</v>
      </c>
      <c r="E604" s="2" t="s">
        <v>402</v>
      </c>
      <c r="F604" s="137" t="s">
        <v>3250</v>
      </c>
      <c r="G604" s="137" t="s">
        <v>3251</v>
      </c>
      <c r="H604" s="137" t="s">
        <v>3252</v>
      </c>
      <c r="I604" s="113" t="s">
        <v>292</v>
      </c>
      <c r="J604" s="108" t="str">
        <f t="shared" si="9"/>
        <v>061912</v>
      </c>
    </row>
    <row r="605" spans="1:10" ht="15" customHeight="1" x14ac:dyDescent="0.25">
      <c r="A605" t="str">
        <f>Table1[[#This Row],[District name]]&amp;" "&amp;Table1[[#This Row],[District number]]</f>
        <v>LAKE GRANBURY ACADEMY CHARTER SCHOOL 111801</v>
      </c>
      <c r="B605" t="s">
        <v>3253</v>
      </c>
      <c r="C605" s="1"/>
      <c r="D605" t="s">
        <v>3254</v>
      </c>
      <c r="E605" s="2" t="s">
        <v>402</v>
      </c>
      <c r="F605" s="137" t="s">
        <v>3255</v>
      </c>
      <c r="G605" s="137" t="s">
        <v>3256</v>
      </c>
      <c r="H605" s="137" t="s">
        <v>3257</v>
      </c>
      <c r="I605" s="113" t="s">
        <v>292</v>
      </c>
      <c r="J605" s="108" t="str">
        <f t="shared" si="9"/>
        <v>111801</v>
      </c>
    </row>
    <row r="606" spans="1:10" ht="15" customHeight="1" x14ac:dyDescent="0.25">
      <c r="A606" t="str">
        <f>Table1[[#This Row],[District name]]&amp;" "&amp;Table1[[#This Row],[District number]]</f>
        <v>LAKE TRAVIS ISD 227913</v>
      </c>
      <c r="B606" t="s">
        <v>3258</v>
      </c>
      <c r="C606" s="1"/>
      <c r="D606" t="s">
        <v>3259</v>
      </c>
      <c r="E606" s="2" t="s">
        <v>598</v>
      </c>
      <c r="F606" s="137" t="s">
        <v>3260</v>
      </c>
      <c r="G606" s="137" t="s">
        <v>3261</v>
      </c>
      <c r="H606" s="137" t="s">
        <v>3262</v>
      </c>
      <c r="I606" s="113" t="s">
        <v>292</v>
      </c>
      <c r="J606" s="108" t="str">
        <f t="shared" si="9"/>
        <v>227913</v>
      </c>
    </row>
    <row r="607" spans="1:10" ht="15" customHeight="1" x14ac:dyDescent="0.25">
      <c r="A607" t="str">
        <f>Table1[[#This Row],[District name]]&amp;" "&amp;Table1[[#This Row],[District number]]</f>
        <v>LAKE WORTH ISD 220910</v>
      </c>
      <c r="B607" t="s">
        <v>3263</v>
      </c>
      <c r="C607" s="1"/>
      <c r="D607" t="s">
        <v>3264</v>
      </c>
      <c r="E607" s="2" t="s">
        <v>402</v>
      </c>
      <c r="F607" s="137" t="s">
        <v>3265</v>
      </c>
      <c r="G607" s="137" t="s">
        <v>3266</v>
      </c>
      <c r="H607" s="137" t="s">
        <v>3267</v>
      </c>
      <c r="I607" s="113" t="s">
        <v>292</v>
      </c>
      <c r="J607" s="108" t="str">
        <f t="shared" si="9"/>
        <v>220910</v>
      </c>
    </row>
    <row r="608" spans="1:10" ht="15" customHeight="1" x14ac:dyDescent="0.25">
      <c r="A608" t="str">
        <f>Table1[[#This Row],[District name]]&amp;" "&amp;Table1[[#This Row],[District number]]</f>
        <v>LAMAR CISD 079901</v>
      </c>
      <c r="B608" t="s">
        <v>3268</v>
      </c>
      <c r="C608" s="1"/>
      <c r="D608" t="s">
        <v>3269</v>
      </c>
      <c r="E608" s="2" t="s">
        <v>295</v>
      </c>
      <c r="F608" s="137" t="s">
        <v>3270</v>
      </c>
      <c r="G608" s="137" t="s">
        <v>3271</v>
      </c>
      <c r="H608" s="137" t="s">
        <v>3272</v>
      </c>
      <c r="I608" s="113" t="s">
        <v>292</v>
      </c>
      <c r="J608" s="108" t="str">
        <f t="shared" si="9"/>
        <v>079901</v>
      </c>
    </row>
    <row r="609" spans="1:10" ht="15" customHeight="1" x14ac:dyDescent="0.25">
      <c r="A609" t="str">
        <f>Table1[[#This Row],[District name]]&amp;" "&amp;Table1[[#This Row],[District number]]</f>
        <v>LAMESA ISD 058906</v>
      </c>
      <c r="B609" t="s">
        <v>3273</v>
      </c>
      <c r="C609" s="1"/>
      <c r="D609" t="s">
        <v>3274</v>
      </c>
      <c r="E609" s="2" t="s">
        <v>308</v>
      </c>
      <c r="F609" s="137" t="s">
        <v>3275</v>
      </c>
      <c r="G609" s="137" t="s">
        <v>3276</v>
      </c>
      <c r="H609" s="137" t="s">
        <v>3277</v>
      </c>
      <c r="I609" s="113" t="s">
        <v>292</v>
      </c>
      <c r="J609" s="108" t="str">
        <f t="shared" si="9"/>
        <v>058906</v>
      </c>
    </row>
    <row r="610" spans="1:10" ht="15" customHeight="1" x14ac:dyDescent="0.25">
      <c r="A610" t="str">
        <f>Table1[[#This Row],[District name]]&amp;" "&amp;Table1[[#This Row],[District number]]</f>
        <v>LAMPASAS ISD 141901</v>
      </c>
      <c r="B610" t="s">
        <v>3278</v>
      </c>
      <c r="C610" s="1"/>
      <c r="D610" t="s">
        <v>3279</v>
      </c>
      <c r="E610" s="2" t="s">
        <v>301</v>
      </c>
      <c r="F610" s="137" t="s">
        <v>3122</v>
      </c>
      <c r="G610" s="137" t="s">
        <v>3280</v>
      </c>
      <c r="H610" s="137" t="s">
        <v>3281</v>
      </c>
      <c r="I610" s="113" t="s">
        <v>292</v>
      </c>
      <c r="J610" s="108" t="str">
        <f t="shared" si="9"/>
        <v>141901</v>
      </c>
    </row>
    <row r="611" spans="1:10" ht="15" customHeight="1" x14ac:dyDescent="0.25">
      <c r="A611" t="str">
        <f>Table1[[#This Row],[District name]]&amp;" "&amp;Table1[[#This Row],[District number]]</f>
        <v>LANCASTER ISD 057913</v>
      </c>
      <c r="B611" t="s">
        <v>3282</v>
      </c>
      <c r="C611" s="1"/>
      <c r="D611" t="s">
        <v>3283</v>
      </c>
      <c r="E611" s="2" t="s">
        <v>288</v>
      </c>
      <c r="F611" s="137" t="s">
        <v>3284</v>
      </c>
      <c r="G611" s="137" t="s">
        <v>3285</v>
      </c>
      <c r="H611" s="137" t="s">
        <v>3286</v>
      </c>
      <c r="I611" s="113" t="s">
        <v>292</v>
      </c>
      <c r="J611" s="108" t="str">
        <f t="shared" si="9"/>
        <v>057913</v>
      </c>
    </row>
    <row r="612" spans="1:10" ht="15" customHeight="1" x14ac:dyDescent="0.25">
      <c r="A612" t="str">
        <f>Table1[[#This Row],[District name]]&amp;" "&amp;Table1[[#This Row],[District number]]</f>
        <v>LANEVILLE ISD 201903</v>
      </c>
      <c r="B612" t="s">
        <v>3287</v>
      </c>
      <c r="C612" s="1"/>
      <c r="D612" t="s">
        <v>3288</v>
      </c>
      <c r="E612" s="2" t="s">
        <v>383</v>
      </c>
      <c r="F612" s="137" t="s">
        <v>3289</v>
      </c>
      <c r="G612" s="137" t="s">
        <v>3290</v>
      </c>
      <c r="H612" s="137" t="s">
        <v>3291</v>
      </c>
      <c r="I612" s="113" t="s">
        <v>292</v>
      </c>
      <c r="J612" s="108" t="str">
        <f t="shared" si="9"/>
        <v>201903</v>
      </c>
    </row>
    <row r="613" spans="1:10" ht="15" customHeight="1" x14ac:dyDescent="0.25">
      <c r="A613" t="str">
        <f>Table1[[#This Row],[District name]]&amp;" "&amp;Table1[[#This Row],[District number]]</f>
        <v>LAPOYNOR ISD 107910</v>
      </c>
      <c r="B613" t="s">
        <v>3292</v>
      </c>
      <c r="C613" s="1"/>
      <c r="D613" t="s">
        <v>3293</v>
      </c>
      <c r="E613" s="2" t="s">
        <v>383</v>
      </c>
      <c r="F613" s="137" t="s">
        <v>3294</v>
      </c>
      <c r="G613" s="137" t="s">
        <v>3295</v>
      </c>
      <c r="H613" s="137" t="s">
        <v>3296</v>
      </c>
      <c r="I613" s="113" t="s">
        <v>292</v>
      </c>
      <c r="J613" s="108" t="str">
        <f t="shared" si="9"/>
        <v>107910</v>
      </c>
    </row>
    <row r="614" spans="1:10" ht="15" customHeight="1" x14ac:dyDescent="0.25">
      <c r="A614" t="str">
        <f>Table1[[#This Row],[District name]]&amp;" "&amp;Table1[[#This Row],[District number]]</f>
        <v>LAREDO ISD 240901</v>
      </c>
      <c r="B614" t="s">
        <v>3297</v>
      </c>
      <c r="C614" s="1"/>
      <c r="D614" t="s">
        <v>3298</v>
      </c>
      <c r="E614" s="2" t="s">
        <v>982</v>
      </c>
      <c r="F614" s="137" t="s">
        <v>2027</v>
      </c>
      <c r="G614" s="137" t="s">
        <v>3299</v>
      </c>
      <c r="H614" s="137" t="s">
        <v>3300</v>
      </c>
      <c r="I614" s="113" t="s">
        <v>292</v>
      </c>
      <c r="J614" s="108" t="str">
        <f t="shared" si="9"/>
        <v>240901</v>
      </c>
    </row>
    <row r="615" spans="1:10" ht="15" customHeight="1" x14ac:dyDescent="0.25">
      <c r="A615" t="str">
        <f>Table1[[#This Row],[District name]]&amp;" "&amp;Table1[[#This Row],[District number]]</f>
        <v>LASARA ISD 245901</v>
      </c>
      <c r="B615" t="s">
        <v>3301</v>
      </c>
      <c r="C615" s="1"/>
      <c r="D615" t="s">
        <v>3302</v>
      </c>
      <c r="E615" s="2" t="s">
        <v>982</v>
      </c>
      <c r="F615" s="137" t="s">
        <v>3303</v>
      </c>
      <c r="G615" s="137" t="s">
        <v>3304</v>
      </c>
      <c r="H615" s="137" t="s">
        <v>3305</v>
      </c>
      <c r="I615" s="113" t="s">
        <v>292</v>
      </c>
      <c r="J615" s="108" t="str">
        <f t="shared" si="9"/>
        <v>245901</v>
      </c>
    </row>
    <row r="616" spans="1:10" ht="15" customHeight="1" x14ac:dyDescent="0.25">
      <c r="A616" t="str">
        <f>Table1[[#This Row],[District name]]&amp;" "&amp;Table1[[#This Row],[District number]]</f>
        <v>LATEXO ISD 113905</v>
      </c>
      <c r="B616" t="s">
        <v>3306</v>
      </c>
      <c r="C616" s="1"/>
      <c r="D616" t="s">
        <v>3307</v>
      </c>
      <c r="E616" s="2" t="s">
        <v>480</v>
      </c>
      <c r="F616" s="137" t="s">
        <v>3308</v>
      </c>
      <c r="G616" s="137" t="s">
        <v>3309</v>
      </c>
      <c r="H616" s="137" t="s">
        <v>3310</v>
      </c>
      <c r="I616" s="113" t="s">
        <v>292</v>
      </c>
      <c r="J616" s="108" t="str">
        <f t="shared" si="9"/>
        <v>113905</v>
      </c>
    </row>
    <row r="617" spans="1:10" ht="15" customHeight="1" x14ac:dyDescent="0.25">
      <c r="A617" t="str">
        <f>Table1[[#This Row],[District name]]&amp;" "&amp;Table1[[#This Row],[District number]]</f>
        <v>LAZBUDDIE ISD 185904</v>
      </c>
      <c r="B617" t="s">
        <v>3311</v>
      </c>
      <c r="C617" s="1"/>
      <c r="D617" t="s">
        <v>3312</v>
      </c>
      <c r="E617" s="2" t="s">
        <v>356</v>
      </c>
      <c r="F617" s="137" t="s">
        <v>1519</v>
      </c>
      <c r="G617" s="137" t="s">
        <v>2465</v>
      </c>
      <c r="H617" s="137" t="s">
        <v>3313</v>
      </c>
      <c r="I617" s="113" t="s">
        <v>292</v>
      </c>
      <c r="J617" s="108" t="str">
        <f t="shared" si="9"/>
        <v>185904</v>
      </c>
    </row>
    <row r="618" spans="1:10" ht="15" customHeight="1" x14ac:dyDescent="0.25">
      <c r="A618" t="str">
        <f>Table1[[#This Row],[District name]]&amp;" "&amp;Table1[[#This Row],[District number]]</f>
        <v>LEADERSHIP PREP SCHOOL 061804</v>
      </c>
      <c r="B618" t="s">
        <v>3314</v>
      </c>
      <c r="C618" s="1"/>
      <c r="D618" t="s">
        <v>3315</v>
      </c>
      <c r="E618" s="2" t="s">
        <v>402</v>
      </c>
      <c r="F618" s="137" t="s">
        <v>3316</v>
      </c>
      <c r="G618" s="137" t="s">
        <v>1253</v>
      </c>
      <c r="H618" s="137" t="s">
        <v>3317</v>
      </c>
      <c r="I618" s="113" t="s">
        <v>292</v>
      </c>
      <c r="J618" s="108" t="str">
        <f t="shared" si="9"/>
        <v>061804</v>
      </c>
    </row>
    <row r="619" spans="1:10" ht="15" customHeight="1" x14ac:dyDescent="0.25">
      <c r="A619" t="str">
        <f>Table1[[#This Row],[District name]]&amp;" "&amp;Table1[[#This Row],[District number]]</f>
        <v>LEAKEY ISD 193902</v>
      </c>
      <c r="B619" t="s">
        <v>3318</v>
      </c>
      <c r="C619" s="1"/>
      <c r="D619" t="s">
        <v>3319</v>
      </c>
      <c r="E619" s="2" t="s">
        <v>376</v>
      </c>
      <c r="F619" s="137" t="s">
        <v>3320</v>
      </c>
      <c r="G619" s="137" t="s">
        <v>3321</v>
      </c>
      <c r="H619" s="137" t="s">
        <v>3322</v>
      </c>
      <c r="I619" s="113" t="s">
        <v>292</v>
      </c>
      <c r="J619" s="108" t="str">
        <f t="shared" si="9"/>
        <v>193902</v>
      </c>
    </row>
    <row r="620" spans="1:10" ht="15" customHeight="1" x14ac:dyDescent="0.25">
      <c r="A620" t="str">
        <f>Table1[[#This Row],[District name]]&amp;" "&amp;Table1[[#This Row],[District number]]</f>
        <v>LEANDER ISD 246913</v>
      </c>
      <c r="B620" t="s">
        <v>3323</v>
      </c>
      <c r="C620" s="1"/>
      <c r="D620" t="s">
        <v>3324</v>
      </c>
      <c r="E620" s="2" t="s">
        <v>598</v>
      </c>
      <c r="F620" s="137" t="s">
        <v>3325</v>
      </c>
      <c r="G620" s="137" t="s">
        <v>3326</v>
      </c>
      <c r="H620" s="137" t="s">
        <v>3327</v>
      </c>
      <c r="I620" s="113" t="s">
        <v>292</v>
      </c>
      <c r="J620" s="108" t="str">
        <f t="shared" si="9"/>
        <v>246913</v>
      </c>
    </row>
    <row r="621" spans="1:10" ht="15" customHeight="1" x14ac:dyDescent="0.25">
      <c r="A621" t="s">
        <v>3328</v>
      </c>
      <c r="B621" t="s">
        <v>3329</v>
      </c>
      <c r="C621" s="1"/>
      <c r="D621" t="s">
        <v>3328</v>
      </c>
      <c r="E621" s="2" t="s">
        <v>2042</v>
      </c>
      <c r="F621" s="137" t="s">
        <v>2042</v>
      </c>
      <c r="G621" s="137" t="s">
        <v>2042</v>
      </c>
      <c r="H621" s="137" t="s">
        <v>2042</v>
      </c>
      <c r="I621" s="113" t="s">
        <v>292</v>
      </c>
      <c r="J621" s="108" t="str">
        <f>LEFT(B621,6)</f>
        <v>227830</v>
      </c>
    </row>
    <row r="622" spans="1:10" ht="15" customHeight="1" x14ac:dyDescent="0.25">
      <c r="A622" t="str">
        <f>Table1[[#This Row],[District name]]&amp;" "&amp;Table1[[#This Row],[District number]]</f>
        <v>LEARY ISD 019914</v>
      </c>
      <c r="B622" t="s">
        <v>3330</v>
      </c>
      <c r="C622" s="1"/>
      <c r="D622" t="s">
        <v>3331</v>
      </c>
      <c r="E622" s="2" t="s">
        <v>587</v>
      </c>
      <c r="F622" s="137" t="s">
        <v>3332</v>
      </c>
      <c r="G622" s="137" t="s">
        <v>3333</v>
      </c>
      <c r="H622" s="137" t="s">
        <v>3334</v>
      </c>
      <c r="I622" s="113" t="s">
        <v>292</v>
      </c>
      <c r="J622" s="108" t="str">
        <f t="shared" si="9"/>
        <v>019914</v>
      </c>
    </row>
    <row r="623" spans="1:10" ht="15" customHeight="1" x14ac:dyDescent="0.25">
      <c r="A623" t="str">
        <f>Table1[[#This Row],[District name]]&amp;" "&amp;Table1[[#This Row],[District number]]</f>
        <v>LEFORS ISD 090902</v>
      </c>
      <c r="B623" t="s">
        <v>3335</v>
      </c>
      <c r="C623" s="1"/>
      <c r="D623" t="s">
        <v>3336</v>
      </c>
      <c r="E623" s="2" t="s">
        <v>356</v>
      </c>
      <c r="F623" s="137" t="s">
        <v>3337</v>
      </c>
      <c r="G623" s="137" t="s">
        <v>3338</v>
      </c>
      <c r="H623" s="137" t="s">
        <v>3339</v>
      </c>
      <c r="I623" s="113" t="s">
        <v>292</v>
      </c>
      <c r="J623" s="108" t="str">
        <f t="shared" si="9"/>
        <v>090902</v>
      </c>
    </row>
    <row r="624" spans="1:10" ht="15" customHeight="1" x14ac:dyDescent="0.25">
      <c r="A624" t="str">
        <f>Table1[[#This Row],[District name]]&amp;" "&amp;Table1[[#This Row],[District number]]</f>
        <v>LEGACY PREPARATORY 057846</v>
      </c>
      <c r="B624" t="s">
        <v>3340</v>
      </c>
      <c r="C624" s="1"/>
      <c r="D624" t="s">
        <v>3341</v>
      </c>
      <c r="E624" s="2" t="s">
        <v>288</v>
      </c>
      <c r="F624" s="137" t="s">
        <v>3342</v>
      </c>
      <c r="G624" s="137" t="s">
        <v>3343</v>
      </c>
      <c r="H624" s="137" t="s">
        <v>3344</v>
      </c>
      <c r="I624" s="113" t="s">
        <v>292</v>
      </c>
      <c r="J624" s="108" t="str">
        <f t="shared" si="9"/>
        <v>057846</v>
      </c>
    </row>
    <row r="625" spans="1:10" ht="15" customHeight="1" x14ac:dyDescent="0.25">
      <c r="A625" t="str">
        <f>Table1[[#This Row],[District name]]&amp;" "&amp;Table1[[#This Row],[District number]]</f>
        <v>LEGACY SCHOOL OF SPORT SCIENCES 101874</v>
      </c>
      <c r="B625" t="s">
        <v>3345</v>
      </c>
      <c r="C625" s="1"/>
      <c r="D625" t="s">
        <v>3346</v>
      </c>
      <c r="E625" s="2" t="s">
        <v>295</v>
      </c>
      <c r="F625" s="137" t="s">
        <v>3347</v>
      </c>
      <c r="G625" s="137" t="s">
        <v>3348</v>
      </c>
      <c r="H625" s="137" t="s">
        <v>3349</v>
      </c>
      <c r="I625" s="113" t="s">
        <v>292</v>
      </c>
      <c r="J625" s="108" t="str">
        <f t="shared" si="9"/>
        <v>101874</v>
      </c>
    </row>
    <row r="626" spans="1:10" ht="15" customHeight="1" x14ac:dyDescent="0.25">
      <c r="A626" t="str">
        <f>Table1[[#This Row],[District name]]&amp;" "&amp;Table1[[#This Row],[District number]]</f>
        <v>LEGACY TRADITIONAL SCHOOLS - TEXAS 015806</v>
      </c>
      <c r="B626" t="s">
        <v>3350</v>
      </c>
      <c r="C626" s="1"/>
      <c r="D626" t="s">
        <v>3351</v>
      </c>
      <c r="E626" s="2" t="s">
        <v>376</v>
      </c>
      <c r="F626" s="137" t="s">
        <v>2218</v>
      </c>
      <c r="G626" s="137" t="s">
        <v>2219</v>
      </c>
      <c r="H626" s="137" t="s">
        <v>2220</v>
      </c>
      <c r="I626" s="113" t="s">
        <v>292</v>
      </c>
      <c r="J626" s="108" t="str">
        <f t="shared" si="9"/>
        <v>015806</v>
      </c>
    </row>
    <row r="627" spans="1:10" ht="15" customHeight="1" x14ac:dyDescent="0.25">
      <c r="A627" t="str">
        <f>Table1[[#This Row],[District name]]&amp;" "&amp;Table1[[#This Row],[District number]]</f>
        <v>LEGGETT ISD 187906</v>
      </c>
      <c r="B627" t="s">
        <v>3352</v>
      </c>
      <c r="C627" s="1"/>
      <c r="D627" t="s">
        <v>3353</v>
      </c>
      <c r="E627" s="2" t="s">
        <v>480</v>
      </c>
      <c r="F627" s="137" t="s">
        <v>3354</v>
      </c>
      <c r="G627" s="137" t="s">
        <v>3355</v>
      </c>
      <c r="H627" s="137" t="s">
        <v>3356</v>
      </c>
      <c r="I627" s="113" t="s">
        <v>292</v>
      </c>
      <c r="J627" s="108" t="str">
        <f t="shared" si="9"/>
        <v>187906</v>
      </c>
    </row>
    <row r="628" spans="1:10" ht="15" customHeight="1" x14ac:dyDescent="0.25">
      <c r="A628" t="str">
        <f>Table1[[#This Row],[District name]]&amp;" "&amp;Table1[[#This Row],[District number]]</f>
        <v>LEON ISD 145911</v>
      </c>
      <c r="B628" t="s">
        <v>3357</v>
      </c>
      <c r="C628" s="1"/>
      <c r="D628" t="s">
        <v>3358</v>
      </c>
      <c r="E628" s="2" t="s">
        <v>480</v>
      </c>
      <c r="F628" s="137" t="s">
        <v>1208</v>
      </c>
      <c r="G628" s="137" t="s">
        <v>3359</v>
      </c>
      <c r="H628" s="137" t="s">
        <v>3360</v>
      </c>
      <c r="I628" s="113" t="s">
        <v>292</v>
      </c>
      <c r="J628" s="108" t="str">
        <f t="shared" si="9"/>
        <v>145911</v>
      </c>
    </row>
    <row r="629" spans="1:10" ht="15" customHeight="1" x14ac:dyDescent="0.25">
      <c r="A629" t="str">
        <f>Table1[[#This Row],[District name]]&amp;" "&amp;Table1[[#This Row],[District number]]</f>
        <v>LEONARD ISD 074909</v>
      </c>
      <c r="B629" t="s">
        <v>3361</v>
      </c>
      <c r="C629" s="1"/>
      <c r="D629" t="s">
        <v>3362</v>
      </c>
      <c r="E629" s="2" t="s">
        <v>288</v>
      </c>
      <c r="F629" s="137" t="s">
        <v>3363</v>
      </c>
      <c r="G629" s="137" t="s">
        <v>3364</v>
      </c>
      <c r="H629" s="137" t="s">
        <v>3365</v>
      </c>
      <c r="I629" s="113" t="s">
        <v>292</v>
      </c>
      <c r="J629" s="108" t="str">
        <f t="shared" si="9"/>
        <v>074909</v>
      </c>
    </row>
    <row r="630" spans="1:10" ht="15" customHeight="1" x14ac:dyDescent="0.25">
      <c r="A630" t="str">
        <f>Table1[[#This Row],[District name]]&amp;" "&amp;Table1[[#This Row],[District number]]</f>
        <v>LEVELLAND ISD 110902</v>
      </c>
      <c r="B630" t="s">
        <v>3366</v>
      </c>
      <c r="C630" s="1"/>
      <c r="D630" t="s">
        <v>3367</v>
      </c>
      <c r="E630" s="2" t="s">
        <v>308</v>
      </c>
      <c r="F630" s="137" t="s">
        <v>3368</v>
      </c>
      <c r="G630" s="137" t="s">
        <v>3369</v>
      </c>
      <c r="H630" s="137" t="s">
        <v>3370</v>
      </c>
      <c r="I630" s="113" t="s">
        <v>292</v>
      </c>
      <c r="J630" s="108" t="str">
        <f t="shared" si="9"/>
        <v>110902</v>
      </c>
    </row>
    <row r="631" spans="1:10" ht="15" customHeight="1" x14ac:dyDescent="0.25">
      <c r="A631" t="str">
        <f>Table1[[#This Row],[District name]]&amp;" "&amp;Table1[[#This Row],[District number]]</f>
        <v>LEVERETTS CHAPEL ISD 201904</v>
      </c>
      <c r="B631" t="s">
        <v>3371</v>
      </c>
      <c r="C631" s="1"/>
      <c r="D631" t="s">
        <v>3372</v>
      </c>
      <c r="E631" s="2" t="s">
        <v>383</v>
      </c>
      <c r="F631" s="137" t="s">
        <v>3373</v>
      </c>
      <c r="G631" s="137" t="s">
        <v>3374</v>
      </c>
      <c r="H631" s="137" t="s">
        <v>3375</v>
      </c>
      <c r="I631" s="113" t="s">
        <v>292</v>
      </c>
      <c r="J631" s="108" t="str">
        <f t="shared" si="9"/>
        <v>201904</v>
      </c>
    </row>
    <row r="632" spans="1:10" ht="15" customHeight="1" x14ac:dyDescent="0.25">
      <c r="A632" t="str">
        <f>Table1[[#This Row],[District name]]&amp;" "&amp;Table1[[#This Row],[District number]]</f>
        <v>LEWISVILLE ISD 061902</v>
      </c>
      <c r="B632" t="s">
        <v>3376</v>
      </c>
      <c r="C632" s="1"/>
      <c r="D632" t="s">
        <v>3377</v>
      </c>
      <c r="E632" s="2" t="s">
        <v>402</v>
      </c>
      <c r="F632" s="137" t="s">
        <v>3378</v>
      </c>
      <c r="G632" s="137" t="s">
        <v>3379</v>
      </c>
      <c r="H632" s="137" t="s">
        <v>3380</v>
      </c>
      <c r="I632" s="113" t="s">
        <v>292</v>
      </c>
      <c r="J632" s="108" t="str">
        <f t="shared" si="9"/>
        <v>061902</v>
      </c>
    </row>
    <row r="633" spans="1:10" ht="15" customHeight="1" x14ac:dyDescent="0.25">
      <c r="A633" t="str">
        <f>Table1[[#This Row],[District name]]&amp;" "&amp;Table1[[#This Row],[District number]]</f>
        <v>LEXINGTON ISD 144902</v>
      </c>
      <c r="B633" t="s">
        <v>3381</v>
      </c>
      <c r="C633" s="1"/>
      <c r="D633" t="s">
        <v>3382</v>
      </c>
      <c r="E633" s="2" t="s">
        <v>598</v>
      </c>
      <c r="F633" s="137" t="s">
        <v>3383</v>
      </c>
      <c r="G633" s="137" t="s">
        <v>3384</v>
      </c>
      <c r="H633" s="137" t="s">
        <v>3385</v>
      </c>
      <c r="I633" s="113" t="s">
        <v>292</v>
      </c>
      <c r="J633" s="108" t="str">
        <f t="shared" si="9"/>
        <v>144902</v>
      </c>
    </row>
    <row r="634" spans="1:10" ht="15" customHeight="1" x14ac:dyDescent="0.25">
      <c r="A634" t="str">
        <f>Table1[[#This Row],[District name]]&amp;" "&amp;Table1[[#This Row],[District number]]</f>
        <v>LIBERTY HILL ISD 246908</v>
      </c>
      <c r="B634" t="s">
        <v>3386</v>
      </c>
      <c r="C634" s="1"/>
      <c r="D634" t="s">
        <v>3387</v>
      </c>
      <c r="E634" s="2" t="s">
        <v>598</v>
      </c>
      <c r="F634" s="137" t="s">
        <v>3388</v>
      </c>
      <c r="G634" s="137" t="s">
        <v>3389</v>
      </c>
      <c r="H634" s="137" t="s">
        <v>3390</v>
      </c>
      <c r="I634" s="113" t="s">
        <v>292</v>
      </c>
      <c r="J634" s="108" t="str">
        <f t="shared" si="9"/>
        <v>246908</v>
      </c>
    </row>
    <row r="635" spans="1:10" ht="15" customHeight="1" x14ac:dyDescent="0.25">
      <c r="A635" t="str">
        <f>Table1[[#This Row],[District name]]&amp;" "&amp;Table1[[#This Row],[District number]]</f>
        <v>LIBERTY ISD 146906</v>
      </c>
      <c r="B635" t="s">
        <v>3391</v>
      </c>
      <c r="C635" s="1"/>
      <c r="D635" t="s">
        <v>3392</v>
      </c>
      <c r="E635" s="2" t="s">
        <v>295</v>
      </c>
      <c r="F635" s="137" t="s">
        <v>3393</v>
      </c>
      <c r="G635" s="137" t="s">
        <v>3394</v>
      </c>
      <c r="H635" s="137" t="s">
        <v>3395</v>
      </c>
      <c r="I635" s="113" t="s">
        <v>292</v>
      </c>
      <c r="J635" s="108" t="str">
        <f t="shared" si="9"/>
        <v>146906</v>
      </c>
    </row>
    <row r="636" spans="1:10" ht="15" customHeight="1" x14ac:dyDescent="0.25">
      <c r="A636" t="str">
        <f>Table1[[#This Row],[District name]]&amp;" "&amp;Table1[[#This Row],[District number]]</f>
        <v>LIBERTY-EYLAU ISD 019908</v>
      </c>
      <c r="B636" t="s">
        <v>3396</v>
      </c>
      <c r="C636" s="1"/>
      <c r="D636" t="s">
        <v>3397</v>
      </c>
      <c r="E636" s="2" t="s">
        <v>587</v>
      </c>
      <c r="F636" s="137" t="s">
        <v>3398</v>
      </c>
      <c r="G636" s="137" t="s">
        <v>3399</v>
      </c>
      <c r="H636" s="137" t="s">
        <v>3400</v>
      </c>
      <c r="I636" s="113" t="s">
        <v>292</v>
      </c>
      <c r="J636" s="108" t="str">
        <f t="shared" si="9"/>
        <v>019908</v>
      </c>
    </row>
    <row r="637" spans="1:10" ht="15" customHeight="1" x14ac:dyDescent="0.25">
      <c r="A637" t="str">
        <f>Table1[[#This Row],[District name]]&amp;" "&amp;Table1[[#This Row],[District number]]</f>
        <v>LIFE SCHOOL 057807</v>
      </c>
      <c r="B637" t="s">
        <v>3401</v>
      </c>
      <c r="C637" s="1"/>
      <c r="D637" t="s">
        <v>3402</v>
      </c>
      <c r="E637" s="2" t="s">
        <v>288</v>
      </c>
      <c r="F637" s="137" t="s">
        <v>3403</v>
      </c>
      <c r="G637" s="137" t="s">
        <v>3404</v>
      </c>
      <c r="H637" s="137" t="s">
        <v>3405</v>
      </c>
      <c r="I637" s="113" t="s">
        <v>292</v>
      </c>
      <c r="J637" s="108" t="str">
        <f t="shared" si="9"/>
        <v>057807</v>
      </c>
    </row>
    <row r="638" spans="1:10" ht="15" customHeight="1" x14ac:dyDescent="0.25">
      <c r="A638" t="str">
        <f>Table1[[#This Row],[District name]]&amp;" "&amp;Table1[[#This Row],[District number]]</f>
        <v>LIGHTHOUSE PUBLIC SCHOOLS 015825</v>
      </c>
      <c r="B638" t="s">
        <v>3406</v>
      </c>
      <c r="C638" s="1"/>
      <c r="D638" t="s">
        <v>3407</v>
      </c>
      <c r="E638" s="2" t="s">
        <v>376</v>
      </c>
      <c r="F638" s="137" t="s">
        <v>3408</v>
      </c>
      <c r="G638" s="137" t="s">
        <v>3409</v>
      </c>
      <c r="H638" s="137" t="s">
        <v>3410</v>
      </c>
      <c r="I638" s="113" t="s">
        <v>292</v>
      </c>
      <c r="J638" s="108" t="str">
        <f t="shared" si="9"/>
        <v>015825</v>
      </c>
    </row>
    <row r="639" spans="1:10" ht="15" customHeight="1" x14ac:dyDescent="0.25">
      <c r="A639" t="str">
        <f>Table1[[#This Row],[District name]]&amp;" "&amp;Table1[[#This Row],[District number]]</f>
        <v>LINDALE ISD 212903</v>
      </c>
      <c r="B639" t="s">
        <v>3411</v>
      </c>
      <c r="C639" s="1"/>
      <c r="D639" t="s">
        <v>3412</v>
      </c>
      <c r="E639" s="2" t="s">
        <v>383</v>
      </c>
      <c r="F639" s="137" t="s">
        <v>3413</v>
      </c>
      <c r="G639" s="137" t="s">
        <v>3414</v>
      </c>
      <c r="H639" s="137" t="s">
        <v>3415</v>
      </c>
      <c r="I639" s="113" t="s">
        <v>292</v>
      </c>
      <c r="J639" s="108" t="str">
        <f t="shared" si="9"/>
        <v>212903</v>
      </c>
    </row>
    <row r="640" spans="1:10" ht="15" customHeight="1" x14ac:dyDescent="0.25">
      <c r="A640" t="str">
        <f>Table1[[#This Row],[District name]]&amp;" "&amp;Table1[[#This Row],[District number]]</f>
        <v>LINDEN-KILDARE CISD 034905</v>
      </c>
      <c r="B640" t="s">
        <v>3416</v>
      </c>
      <c r="C640" s="1"/>
      <c r="D640" t="s">
        <v>3417</v>
      </c>
      <c r="E640" s="2" t="s">
        <v>587</v>
      </c>
      <c r="F640" s="137" t="s">
        <v>3418</v>
      </c>
      <c r="G640" s="137" t="s">
        <v>3419</v>
      </c>
      <c r="H640" s="137" t="s">
        <v>3420</v>
      </c>
      <c r="I640" s="113" t="s">
        <v>292</v>
      </c>
      <c r="J640" s="108" t="str">
        <f t="shared" si="9"/>
        <v>034905</v>
      </c>
    </row>
    <row r="641" spans="1:10" ht="15" customHeight="1" x14ac:dyDescent="0.25">
      <c r="A641" t="str">
        <f>Table1[[#This Row],[District name]]&amp;" "&amp;Table1[[#This Row],[District number]]</f>
        <v>LINDSAY ISD 049907</v>
      </c>
      <c r="B641" t="s">
        <v>3421</v>
      </c>
      <c r="C641" s="1"/>
      <c r="D641" t="s">
        <v>3422</v>
      </c>
      <c r="E641" s="2" t="s">
        <v>402</v>
      </c>
      <c r="F641" s="137" t="s">
        <v>3423</v>
      </c>
      <c r="G641" s="137" t="s">
        <v>3424</v>
      </c>
      <c r="H641" s="137" t="s">
        <v>3425</v>
      </c>
      <c r="I641" s="113" t="s">
        <v>292</v>
      </c>
      <c r="J641" s="108" t="str">
        <f t="shared" si="9"/>
        <v>049907</v>
      </c>
    </row>
    <row r="642" spans="1:10" ht="15" customHeight="1" x14ac:dyDescent="0.25">
      <c r="A642" t="str">
        <f>Table1[[#This Row],[District name]]&amp;" "&amp;Table1[[#This Row],[District number]]</f>
        <v>LINGLEVILLE ISD 072909</v>
      </c>
      <c r="B642" t="s">
        <v>3426</v>
      </c>
      <c r="C642" s="1"/>
      <c r="D642" t="s">
        <v>3427</v>
      </c>
      <c r="E642" s="2" t="s">
        <v>402</v>
      </c>
      <c r="F642" s="137" t="s">
        <v>3428</v>
      </c>
      <c r="G642" s="137" t="s">
        <v>3429</v>
      </c>
      <c r="H642" s="137" t="s">
        <v>3430</v>
      </c>
      <c r="I642" s="113" t="s">
        <v>292</v>
      </c>
      <c r="J642" s="108" t="str">
        <f t="shared" si="9"/>
        <v>072909</v>
      </c>
    </row>
    <row r="643" spans="1:10" ht="15" customHeight="1" x14ac:dyDescent="0.25">
      <c r="A643" t="str">
        <f>Table1[[#This Row],[District name]]&amp;" "&amp;Table1[[#This Row],[District number]]</f>
        <v>LIPAN ISD 111902</v>
      </c>
      <c r="B643" t="s">
        <v>3431</v>
      </c>
      <c r="C643" s="1"/>
      <c r="D643" t="s">
        <v>3432</v>
      </c>
      <c r="E643" s="2" t="s">
        <v>402</v>
      </c>
      <c r="F643" s="137" t="s">
        <v>3433</v>
      </c>
      <c r="G643" s="137" t="s">
        <v>3434</v>
      </c>
      <c r="H643" s="137" t="s">
        <v>3435</v>
      </c>
      <c r="I643" s="113" t="s">
        <v>292</v>
      </c>
      <c r="J643" s="108" t="str">
        <f t="shared" si="9"/>
        <v>111902</v>
      </c>
    </row>
    <row r="644" spans="1:10" ht="15" customHeight="1" x14ac:dyDescent="0.25">
      <c r="A644" t="str">
        <f>Table1[[#This Row],[District name]]&amp;" "&amp;Table1[[#This Row],[District number]]</f>
        <v>LITTLE CYPRESS-MAURICEVILLE CISD 181908</v>
      </c>
      <c r="B644" t="s">
        <v>3436</v>
      </c>
      <c r="C644" s="1"/>
      <c r="D644" t="s">
        <v>3437</v>
      </c>
      <c r="E644" s="2" t="s">
        <v>706</v>
      </c>
      <c r="F644" s="137" t="s">
        <v>3438</v>
      </c>
      <c r="G644" s="137" t="s">
        <v>3439</v>
      </c>
      <c r="H644" s="137" t="s">
        <v>3440</v>
      </c>
      <c r="I644" s="113" t="s">
        <v>292</v>
      </c>
      <c r="J644" s="108" t="str">
        <f t="shared" si="9"/>
        <v>181908</v>
      </c>
    </row>
    <row r="645" spans="1:10" ht="15" customHeight="1" x14ac:dyDescent="0.25">
      <c r="A645" t="str">
        <f>Table1[[#This Row],[District name]]&amp;" "&amp;Table1[[#This Row],[District number]]</f>
        <v>LITTLE ELM ISD 061914</v>
      </c>
      <c r="B645" t="s">
        <v>3441</v>
      </c>
      <c r="C645" s="1"/>
      <c r="D645" t="s">
        <v>3442</v>
      </c>
      <c r="E645" s="2" t="s">
        <v>402</v>
      </c>
      <c r="F645" s="137" t="s">
        <v>1183</v>
      </c>
      <c r="G645" s="137" t="s">
        <v>2394</v>
      </c>
      <c r="H645" s="137" t="s">
        <v>2395</v>
      </c>
      <c r="I645" s="113" t="s">
        <v>292</v>
      </c>
      <c r="J645" s="108" t="str">
        <f t="shared" si="9"/>
        <v>061914</v>
      </c>
    </row>
    <row r="646" spans="1:10" ht="15" customHeight="1" x14ac:dyDescent="0.25">
      <c r="A646" t="str">
        <f>Table1[[#This Row],[District name]]&amp;" "&amp;Table1[[#This Row],[District number]]</f>
        <v>LITTLEFIELD ISD 140904</v>
      </c>
      <c r="B646" t="s">
        <v>3443</v>
      </c>
      <c r="C646" s="1"/>
      <c r="D646" t="s">
        <v>3444</v>
      </c>
      <c r="E646" s="2" t="s">
        <v>308</v>
      </c>
      <c r="F646" s="137" t="s">
        <v>3445</v>
      </c>
      <c r="G646" s="137" t="s">
        <v>3446</v>
      </c>
      <c r="H646" s="137" t="s">
        <v>3447</v>
      </c>
      <c r="I646" s="113" t="s">
        <v>292</v>
      </c>
      <c r="J646" s="108" t="str">
        <f t="shared" ref="J646:J709" si="10">LEFT(B646,6)</f>
        <v>140904</v>
      </c>
    </row>
    <row r="647" spans="1:10" ht="15" customHeight="1" x14ac:dyDescent="0.25">
      <c r="A647" t="str">
        <f>Table1[[#This Row],[District name]]&amp;" "&amp;Table1[[#This Row],[District number]]</f>
        <v>LIVINGSTON ISD 187907</v>
      </c>
      <c r="B647" t="s">
        <v>3448</v>
      </c>
      <c r="C647" s="1"/>
      <c r="D647" t="s">
        <v>3449</v>
      </c>
      <c r="E647" s="2" t="s">
        <v>480</v>
      </c>
      <c r="F647" s="137" t="s">
        <v>3450</v>
      </c>
      <c r="G647" s="137" t="s">
        <v>3451</v>
      </c>
      <c r="H647" s="137" t="s">
        <v>3452</v>
      </c>
      <c r="I647" s="113" t="s">
        <v>292</v>
      </c>
      <c r="J647" s="108" t="str">
        <f t="shared" si="10"/>
        <v>187907</v>
      </c>
    </row>
    <row r="648" spans="1:10" ht="15" customHeight="1" x14ac:dyDescent="0.25">
      <c r="A648" t="str">
        <f>Table1[[#This Row],[District name]]&amp;" "&amp;Table1[[#This Row],[District number]]</f>
        <v>LLANO ISD 150901</v>
      </c>
      <c r="B648" t="s">
        <v>3453</v>
      </c>
      <c r="C648" s="1"/>
      <c r="D648" t="s">
        <v>3454</v>
      </c>
      <c r="E648" s="2" t="s">
        <v>598</v>
      </c>
      <c r="F648" s="137" t="s">
        <v>3455</v>
      </c>
      <c r="G648" s="137" t="s">
        <v>3456</v>
      </c>
      <c r="H648" s="137" t="s">
        <v>3457</v>
      </c>
      <c r="I648" s="113" t="s">
        <v>292</v>
      </c>
      <c r="J648" s="108" t="str">
        <f t="shared" si="10"/>
        <v>150901</v>
      </c>
    </row>
    <row r="649" spans="1:10" ht="15" customHeight="1" x14ac:dyDescent="0.25">
      <c r="A649" t="str">
        <f>Table1[[#This Row],[District name]]&amp;" "&amp;Table1[[#This Row],[District number]]</f>
        <v>LOCKHART ISD 028902</v>
      </c>
      <c r="B649" t="s">
        <v>3458</v>
      </c>
      <c r="C649" s="1"/>
      <c r="D649" t="s">
        <v>3459</v>
      </c>
      <c r="E649" s="2" t="s">
        <v>598</v>
      </c>
      <c r="F649" s="137" t="s">
        <v>1113</v>
      </c>
      <c r="G649" s="137" t="s">
        <v>1114</v>
      </c>
      <c r="H649" s="137" t="s">
        <v>3460</v>
      </c>
      <c r="I649" s="113" t="s">
        <v>292</v>
      </c>
      <c r="J649" s="108" t="str">
        <f t="shared" si="10"/>
        <v>028902</v>
      </c>
    </row>
    <row r="650" spans="1:10" ht="15" customHeight="1" x14ac:dyDescent="0.25">
      <c r="A650" t="str">
        <f>Table1[[#This Row],[District name]]&amp;" "&amp;Table1[[#This Row],[District number]]</f>
        <v>LOCKNEY ISD 077902</v>
      </c>
      <c r="B650" t="s">
        <v>3461</v>
      </c>
      <c r="C650" s="1"/>
      <c r="D650" t="s">
        <v>3462</v>
      </c>
      <c r="E650" s="2" t="s">
        <v>308</v>
      </c>
      <c r="F650" s="137" t="s">
        <v>3463</v>
      </c>
      <c r="G650" s="137" t="s">
        <v>3464</v>
      </c>
      <c r="H650" s="137" t="s">
        <v>3465</v>
      </c>
      <c r="I650" s="113" t="s">
        <v>292</v>
      </c>
      <c r="J650" s="108" t="str">
        <f t="shared" si="10"/>
        <v>077902</v>
      </c>
    </row>
    <row r="651" spans="1:10" ht="15" customHeight="1" x14ac:dyDescent="0.25">
      <c r="A651" t="str">
        <f>Table1[[#This Row],[District name]]&amp;" "&amp;Table1[[#This Row],[District number]]</f>
        <v>LOHN ISD 160905</v>
      </c>
      <c r="B651" t="s">
        <v>3466</v>
      </c>
      <c r="C651" s="1"/>
      <c r="D651" t="s">
        <v>3467</v>
      </c>
      <c r="E651" s="2" t="s">
        <v>650</v>
      </c>
      <c r="F651" s="137" t="s">
        <v>3468</v>
      </c>
      <c r="G651" s="137" t="s">
        <v>2060</v>
      </c>
      <c r="H651" s="137" t="s">
        <v>3469</v>
      </c>
      <c r="I651" s="113" t="s">
        <v>292</v>
      </c>
      <c r="J651" s="108" t="str">
        <f t="shared" si="10"/>
        <v>160905</v>
      </c>
    </row>
    <row r="652" spans="1:10" ht="15" customHeight="1" x14ac:dyDescent="0.25">
      <c r="A652" t="str">
        <f>Table1[[#This Row],[District name]]&amp;" "&amp;Table1[[#This Row],[District number]]</f>
        <v>LOMETA ISD 141902</v>
      </c>
      <c r="B652" t="s">
        <v>3470</v>
      </c>
      <c r="C652" s="1"/>
      <c r="D652" t="s">
        <v>3471</v>
      </c>
      <c r="E652" s="2" t="s">
        <v>301</v>
      </c>
      <c r="F652" s="137" t="s">
        <v>3472</v>
      </c>
      <c r="G652" s="137" t="s">
        <v>3473</v>
      </c>
      <c r="H652" s="137" t="s">
        <v>3474</v>
      </c>
      <c r="I652" s="113" t="s">
        <v>292</v>
      </c>
      <c r="J652" s="108" t="str">
        <f t="shared" si="10"/>
        <v>141902</v>
      </c>
    </row>
    <row r="653" spans="1:10" ht="15" customHeight="1" x14ac:dyDescent="0.25">
      <c r="A653" t="str">
        <f>Table1[[#This Row],[District name]]&amp;" "&amp;Table1[[#This Row],[District number]]</f>
        <v>LONDON ISD 178906</v>
      </c>
      <c r="B653" t="s">
        <v>3475</v>
      </c>
      <c r="C653" s="1"/>
      <c r="D653" t="s">
        <v>3476</v>
      </c>
      <c r="E653" s="2" t="s">
        <v>369</v>
      </c>
      <c r="F653" s="137" t="s">
        <v>1178</v>
      </c>
      <c r="G653" s="137" t="s">
        <v>3477</v>
      </c>
      <c r="H653" s="137" t="s">
        <v>3478</v>
      </c>
      <c r="I653" s="113" t="s">
        <v>292</v>
      </c>
      <c r="J653" s="108" t="str">
        <f t="shared" si="10"/>
        <v>178906</v>
      </c>
    </row>
    <row r="654" spans="1:10" ht="15" customHeight="1" x14ac:dyDescent="0.25">
      <c r="A654" t="str">
        <f>Table1[[#This Row],[District name]]&amp;" "&amp;Table1[[#This Row],[District number]]</f>
        <v>LONE OAK ISD 116906</v>
      </c>
      <c r="B654" t="s">
        <v>3479</v>
      </c>
      <c r="C654" s="1"/>
      <c r="D654" t="s">
        <v>3480</v>
      </c>
      <c r="E654" s="2" t="s">
        <v>288</v>
      </c>
      <c r="F654" s="137" t="s">
        <v>3481</v>
      </c>
      <c r="G654" s="137" t="s">
        <v>3482</v>
      </c>
      <c r="H654" s="137" t="s">
        <v>3483</v>
      </c>
      <c r="I654" s="113" t="s">
        <v>292</v>
      </c>
      <c r="J654" s="108" t="str">
        <f t="shared" si="10"/>
        <v>116906</v>
      </c>
    </row>
    <row r="655" spans="1:10" ht="15" customHeight="1" x14ac:dyDescent="0.25">
      <c r="A655" t="str">
        <f>Table1[[#This Row],[District name]]&amp;" "&amp;Table1[[#This Row],[District number]]</f>
        <v>LONE STAR LANGUAGE ACADEMY 043802</v>
      </c>
      <c r="B655" t="s">
        <v>3484</v>
      </c>
      <c r="C655" s="1"/>
      <c r="D655" t="s">
        <v>3485</v>
      </c>
      <c r="E655" s="2" t="s">
        <v>288</v>
      </c>
      <c r="F655" s="137" t="s">
        <v>3486</v>
      </c>
      <c r="G655" s="137" t="s">
        <v>3487</v>
      </c>
      <c r="H655" s="137" t="s">
        <v>3488</v>
      </c>
      <c r="I655" s="113" t="s">
        <v>292</v>
      </c>
      <c r="J655" s="108" t="str">
        <f t="shared" si="10"/>
        <v>043802</v>
      </c>
    </row>
    <row r="656" spans="1:10" ht="15" customHeight="1" x14ac:dyDescent="0.25">
      <c r="A656" t="str">
        <f>Table1[[#This Row],[District name]]&amp;" "&amp;Table1[[#This Row],[District number]]</f>
        <v>LONGVIEW ISD 092903</v>
      </c>
      <c r="B656" t="s">
        <v>3489</v>
      </c>
      <c r="C656" s="1"/>
      <c r="D656" t="s">
        <v>3490</v>
      </c>
      <c r="E656" s="2" t="s">
        <v>383</v>
      </c>
      <c r="F656" s="137" t="s">
        <v>3491</v>
      </c>
      <c r="G656" s="137" t="s">
        <v>708</v>
      </c>
      <c r="H656" s="137" t="s">
        <v>3492</v>
      </c>
      <c r="I656" s="113" t="s">
        <v>292</v>
      </c>
      <c r="J656" s="108" t="str">
        <f t="shared" si="10"/>
        <v>092903</v>
      </c>
    </row>
    <row r="657" spans="1:10" ht="15" customHeight="1" x14ac:dyDescent="0.25">
      <c r="A657" t="str">
        <f>Table1[[#This Row],[District name]]&amp;" "&amp;Table1[[#This Row],[District number]]</f>
        <v>LOOP ISD 083902</v>
      </c>
      <c r="B657" t="s">
        <v>3493</v>
      </c>
      <c r="C657" s="1"/>
      <c r="D657" t="s">
        <v>3494</v>
      </c>
      <c r="E657" s="2" t="s">
        <v>308</v>
      </c>
      <c r="F657" s="137" t="s">
        <v>3495</v>
      </c>
      <c r="G657" s="137" t="s">
        <v>3496</v>
      </c>
      <c r="H657" s="137" t="s">
        <v>3497</v>
      </c>
      <c r="I657" s="113" t="s">
        <v>292</v>
      </c>
      <c r="J657" s="108" t="str">
        <f t="shared" si="10"/>
        <v>083902</v>
      </c>
    </row>
    <row r="658" spans="1:10" ht="15" customHeight="1" x14ac:dyDescent="0.25">
      <c r="A658" t="str">
        <f>Table1[[#This Row],[District name]]&amp;" "&amp;Table1[[#This Row],[District number]]</f>
        <v>LORAINE ISD 168902</v>
      </c>
      <c r="B658" t="s">
        <v>3498</v>
      </c>
      <c r="C658" s="1"/>
      <c r="D658" t="s">
        <v>3499</v>
      </c>
      <c r="E658" s="2" t="s">
        <v>314</v>
      </c>
      <c r="F658" s="137" t="s">
        <v>2384</v>
      </c>
      <c r="G658" s="137" t="s">
        <v>3500</v>
      </c>
      <c r="H658" s="137" t="s">
        <v>3501</v>
      </c>
      <c r="I658" s="113" t="s">
        <v>292</v>
      </c>
      <c r="J658" s="108" t="str">
        <f t="shared" si="10"/>
        <v>168902</v>
      </c>
    </row>
    <row r="659" spans="1:10" ht="15" customHeight="1" x14ac:dyDescent="0.25">
      <c r="A659" t="str">
        <f>Table1[[#This Row],[District name]]&amp;" "&amp;Table1[[#This Row],[District number]]</f>
        <v>LORENA ISD 161907</v>
      </c>
      <c r="B659" t="s">
        <v>3502</v>
      </c>
      <c r="C659" s="1"/>
      <c r="D659" t="s">
        <v>3503</v>
      </c>
      <c r="E659" s="2" t="s">
        <v>301</v>
      </c>
      <c r="F659" s="137" t="s">
        <v>3504</v>
      </c>
      <c r="G659" s="137" t="s">
        <v>3505</v>
      </c>
      <c r="H659" s="137" t="s">
        <v>3506</v>
      </c>
      <c r="I659" s="113" t="s">
        <v>292</v>
      </c>
      <c r="J659" s="108" t="str">
        <f t="shared" si="10"/>
        <v>161907</v>
      </c>
    </row>
    <row r="660" spans="1:10" ht="15" customHeight="1" x14ac:dyDescent="0.25">
      <c r="A660" t="str">
        <f>Table1[[#This Row],[District name]]&amp;" "&amp;Table1[[#This Row],[District number]]</f>
        <v>LORENZO ISD 054902</v>
      </c>
      <c r="B660" t="s">
        <v>3507</v>
      </c>
      <c r="C660" s="1"/>
      <c r="D660" t="s">
        <v>3508</v>
      </c>
      <c r="E660" s="2" t="s">
        <v>308</v>
      </c>
      <c r="F660" s="137" t="s">
        <v>3509</v>
      </c>
      <c r="G660" s="137" t="s">
        <v>3510</v>
      </c>
      <c r="H660" s="137" t="s">
        <v>3511</v>
      </c>
      <c r="I660" s="113" t="s">
        <v>292</v>
      </c>
      <c r="J660" s="108" t="str">
        <f t="shared" si="10"/>
        <v>054902</v>
      </c>
    </row>
    <row r="661" spans="1:10" ht="15" customHeight="1" x14ac:dyDescent="0.25">
      <c r="A661" t="str">
        <f>Table1[[#This Row],[District name]]&amp;" "&amp;Table1[[#This Row],[District number]]</f>
        <v>LOS FRESNOS CISD 031906</v>
      </c>
      <c r="B661" t="s">
        <v>3512</v>
      </c>
      <c r="C661" s="1"/>
      <c r="D661" t="s">
        <v>3513</v>
      </c>
      <c r="E661" s="2" t="s">
        <v>982</v>
      </c>
      <c r="F661" s="137" t="s">
        <v>3514</v>
      </c>
      <c r="G661" s="137" t="s">
        <v>3515</v>
      </c>
      <c r="H661" s="137" t="s">
        <v>3516</v>
      </c>
      <c r="I661" s="113" t="s">
        <v>292</v>
      </c>
      <c r="J661" s="108" t="str">
        <f t="shared" si="10"/>
        <v>031906</v>
      </c>
    </row>
    <row r="662" spans="1:10" ht="15" customHeight="1" x14ac:dyDescent="0.25">
      <c r="A662" t="str">
        <f>Table1[[#This Row],[District name]]&amp;" "&amp;Table1[[#This Row],[District number]]</f>
        <v>LOUISE ISD 241906</v>
      </c>
      <c r="B662" t="s">
        <v>3517</v>
      </c>
      <c r="C662" s="1"/>
      <c r="D662" t="s">
        <v>3518</v>
      </c>
      <c r="E662" s="2" t="s">
        <v>614</v>
      </c>
      <c r="F662" s="137" t="s">
        <v>3519</v>
      </c>
      <c r="G662" s="137" t="s">
        <v>3520</v>
      </c>
      <c r="H662" s="137" t="s">
        <v>3521</v>
      </c>
      <c r="I662" s="113" t="s">
        <v>292</v>
      </c>
      <c r="J662" s="108" t="str">
        <f t="shared" si="10"/>
        <v>241906</v>
      </c>
    </row>
    <row r="663" spans="1:10" ht="15" customHeight="1" x14ac:dyDescent="0.25">
      <c r="A663" t="str">
        <f>Table1[[#This Row],[District name]]&amp;" "&amp;Table1[[#This Row],[District number]]</f>
        <v>LOVEJOY ISD 043919</v>
      </c>
      <c r="B663" t="s">
        <v>3522</v>
      </c>
      <c r="C663" s="1"/>
      <c r="D663" t="s">
        <v>3523</v>
      </c>
      <c r="E663" s="2" t="s">
        <v>288</v>
      </c>
      <c r="F663" s="137" t="s">
        <v>3524</v>
      </c>
      <c r="G663" s="137" t="s">
        <v>3525</v>
      </c>
      <c r="H663" s="137" t="s">
        <v>3526</v>
      </c>
      <c r="I663" s="113" t="s">
        <v>292</v>
      </c>
      <c r="J663" s="108" t="str">
        <f t="shared" si="10"/>
        <v>043919</v>
      </c>
    </row>
    <row r="664" spans="1:10" ht="15" customHeight="1" x14ac:dyDescent="0.25">
      <c r="A664" t="str">
        <f>Table1[[#This Row],[District name]]&amp;" "&amp;Table1[[#This Row],[District number]]</f>
        <v>LOVELADY ISD 113903</v>
      </c>
      <c r="B664" t="s">
        <v>3527</v>
      </c>
      <c r="C664" s="1"/>
      <c r="D664" t="s">
        <v>3528</v>
      </c>
      <c r="E664" s="2" t="s">
        <v>480</v>
      </c>
      <c r="F664" s="137" t="s">
        <v>3529</v>
      </c>
      <c r="G664" s="137" t="s">
        <v>3530</v>
      </c>
      <c r="H664" s="137" t="s">
        <v>3531</v>
      </c>
      <c r="I664" s="113" t="s">
        <v>292</v>
      </c>
      <c r="J664" s="108" t="str">
        <f t="shared" si="10"/>
        <v>113903</v>
      </c>
    </row>
    <row r="665" spans="1:10" ht="15" customHeight="1" x14ac:dyDescent="0.25">
      <c r="A665" t="str">
        <f>Table1[[#This Row],[District name]]&amp;" "&amp;Table1[[#This Row],[District number]]</f>
        <v>LUBBOCK ISD 152901</v>
      </c>
      <c r="B665" t="s">
        <v>3532</v>
      </c>
      <c r="C665" s="1"/>
      <c r="D665" t="s">
        <v>3533</v>
      </c>
      <c r="E665" s="2" t="s">
        <v>308</v>
      </c>
      <c r="F665" s="137" t="s">
        <v>3534</v>
      </c>
      <c r="G665" s="137" t="s">
        <v>3535</v>
      </c>
      <c r="H665" s="137" t="s">
        <v>3536</v>
      </c>
      <c r="I665" s="113" t="s">
        <v>292</v>
      </c>
      <c r="J665" s="108" t="str">
        <f t="shared" si="10"/>
        <v>152901</v>
      </c>
    </row>
    <row r="666" spans="1:10" ht="15" customHeight="1" x14ac:dyDescent="0.25">
      <c r="A666" t="str">
        <f>Table1[[#This Row],[District name]]&amp;" "&amp;Table1[[#This Row],[District number]]</f>
        <v>LUBBOCK-COOPER ISD 152906</v>
      </c>
      <c r="B666" t="s">
        <v>3537</v>
      </c>
      <c r="C666" s="1"/>
      <c r="D666" t="s">
        <v>3538</v>
      </c>
      <c r="E666" s="2" t="s">
        <v>308</v>
      </c>
      <c r="F666" s="137" t="s">
        <v>3539</v>
      </c>
      <c r="G666" s="137" t="s">
        <v>3540</v>
      </c>
      <c r="H666" s="137" t="s">
        <v>3541</v>
      </c>
      <c r="I666" s="113" t="s">
        <v>292</v>
      </c>
      <c r="J666" s="108" t="str">
        <f t="shared" si="10"/>
        <v>152906</v>
      </c>
    </row>
    <row r="667" spans="1:10" ht="15" customHeight="1" x14ac:dyDescent="0.25">
      <c r="A667" t="str">
        <f>Table1[[#This Row],[District name]]&amp;" "&amp;Table1[[#This Row],[District number]]</f>
        <v>LUEDERS-AVOCA ISD 127905</v>
      </c>
      <c r="B667" t="s">
        <v>3542</v>
      </c>
      <c r="C667" s="1"/>
      <c r="D667" t="s">
        <v>3543</v>
      </c>
      <c r="E667" s="2" t="s">
        <v>314</v>
      </c>
      <c r="F667" s="137" t="s">
        <v>3544</v>
      </c>
      <c r="G667" s="137" t="s">
        <v>3545</v>
      </c>
      <c r="H667" s="137" t="s">
        <v>3546</v>
      </c>
      <c r="I667" s="113" t="s">
        <v>292</v>
      </c>
      <c r="J667" s="108" t="str">
        <f t="shared" si="10"/>
        <v>127905</v>
      </c>
    </row>
    <row r="668" spans="1:10" ht="15" customHeight="1" x14ac:dyDescent="0.25">
      <c r="A668" t="str">
        <f>Table1[[#This Row],[District name]]&amp;" "&amp;Table1[[#This Row],[District number]]</f>
        <v>LUFKIN ISD 003903</v>
      </c>
      <c r="B668" t="s">
        <v>3547</v>
      </c>
      <c r="C668" s="1"/>
      <c r="D668" t="s">
        <v>3548</v>
      </c>
      <c r="E668" s="2" t="s">
        <v>383</v>
      </c>
      <c r="F668" s="137" t="s">
        <v>3549</v>
      </c>
      <c r="G668" s="137" t="s">
        <v>3550</v>
      </c>
      <c r="H668" s="137" t="s">
        <v>3551</v>
      </c>
      <c r="I668" s="113" t="s">
        <v>292</v>
      </c>
      <c r="J668" s="108" t="str">
        <f t="shared" si="10"/>
        <v>003903</v>
      </c>
    </row>
    <row r="669" spans="1:10" ht="15" customHeight="1" x14ac:dyDescent="0.25">
      <c r="A669" t="str">
        <f>Table1[[#This Row],[District name]]&amp;" "&amp;Table1[[#This Row],[District number]]</f>
        <v>LULING ISD 028903</v>
      </c>
      <c r="B669" t="s">
        <v>3552</v>
      </c>
      <c r="C669" s="1"/>
      <c r="D669" t="s">
        <v>3553</v>
      </c>
      <c r="E669" s="2" t="s">
        <v>598</v>
      </c>
      <c r="F669" s="137" t="s">
        <v>3554</v>
      </c>
      <c r="G669" s="137" t="s">
        <v>3555</v>
      </c>
      <c r="H669" s="137" t="s">
        <v>3556</v>
      </c>
      <c r="I669" s="113" t="s">
        <v>292</v>
      </c>
      <c r="J669" s="108" t="str">
        <f t="shared" si="10"/>
        <v>028903</v>
      </c>
    </row>
    <row r="670" spans="1:10" ht="15" customHeight="1" x14ac:dyDescent="0.25">
      <c r="A670" t="str">
        <f>Table1[[#This Row],[District name]]&amp;" "&amp;Table1[[#This Row],[District number]]</f>
        <v>LUMBERTON ISD 100907</v>
      </c>
      <c r="B670" t="s">
        <v>3557</v>
      </c>
      <c r="C670" s="1"/>
      <c r="D670" t="s">
        <v>3558</v>
      </c>
      <c r="E670" s="2" t="s">
        <v>706</v>
      </c>
      <c r="F670" s="137" t="s">
        <v>3559</v>
      </c>
      <c r="G670" s="137" t="s">
        <v>3560</v>
      </c>
      <c r="H670" s="137" t="s">
        <v>3561</v>
      </c>
      <c r="I670" s="113" t="s">
        <v>292</v>
      </c>
      <c r="J670" s="108" t="str">
        <f t="shared" si="10"/>
        <v>100907</v>
      </c>
    </row>
    <row r="671" spans="1:10" ht="15" customHeight="1" x14ac:dyDescent="0.25">
      <c r="A671" t="str">
        <f>Table1[[#This Row],[District name]]&amp;" "&amp;Table1[[#This Row],[District number]]</f>
        <v>LUMIN EDUCATION 057805</v>
      </c>
      <c r="B671" t="s">
        <v>3562</v>
      </c>
      <c r="C671" s="1"/>
      <c r="D671" t="s">
        <v>3563</v>
      </c>
      <c r="E671" s="2" t="s">
        <v>2042</v>
      </c>
      <c r="F671" s="137" t="s">
        <v>2042</v>
      </c>
      <c r="G671" s="137" t="s">
        <v>2042</v>
      </c>
      <c r="H671" s="137" t="s">
        <v>2042</v>
      </c>
      <c r="I671" s="113" t="s">
        <v>292</v>
      </c>
      <c r="J671" s="108" t="str">
        <f t="shared" si="10"/>
        <v>057805</v>
      </c>
    </row>
    <row r="672" spans="1:10" ht="15" customHeight="1" x14ac:dyDescent="0.25">
      <c r="A672" t="str">
        <f>Table1[[#This Row],[District name]]&amp;" "&amp;Table1[[#This Row],[District number]]</f>
        <v>LYFORD CISD 245902</v>
      </c>
      <c r="B672" t="s">
        <v>3564</v>
      </c>
      <c r="C672" s="1"/>
      <c r="D672" t="s">
        <v>3565</v>
      </c>
      <c r="E672" s="2" t="s">
        <v>982</v>
      </c>
      <c r="F672" s="137" t="s">
        <v>1679</v>
      </c>
      <c r="G672" s="137" t="s">
        <v>3566</v>
      </c>
      <c r="H672" s="137" t="s">
        <v>3567</v>
      </c>
      <c r="I672" s="113" t="s">
        <v>292</v>
      </c>
      <c r="J672" s="108" t="str">
        <f t="shared" si="10"/>
        <v>245902</v>
      </c>
    </row>
    <row r="673" spans="1:10" ht="15" customHeight="1" x14ac:dyDescent="0.25">
      <c r="A673" t="str">
        <f>Table1[[#This Row],[District name]]&amp;" "&amp;Table1[[#This Row],[District number]]</f>
        <v>LYTLE ISD 007904</v>
      </c>
      <c r="B673" t="s">
        <v>3568</v>
      </c>
      <c r="C673" s="1"/>
      <c r="D673" t="s">
        <v>3569</v>
      </c>
      <c r="E673" s="2" t="s">
        <v>376</v>
      </c>
      <c r="F673" s="137" t="s">
        <v>3570</v>
      </c>
      <c r="G673" s="137" t="s">
        <v>3571</v>
      </c>
      <c r="H673" s="137" t="s">
        <v>3572</v>
      </c>
      <c r="I673" s="113" t="s">
        <v>292</v>
      </c>
      <c r="J673" s="108" t="str">
        <f t="shared" si="10"/>
        <v>007904</v>
      </c>
    </row>
    <row r="674" spans="1:10" ht="15" customHeight="1" x14ac:dyDescent="0.25">
      <c r="A674" t="str">
        <f>Table1[[#This Row],[District name]]&amp;" "&amp;Table1[[#This Row],[District number]]</f>
        <v>MABANK ISD 129905</v>
      </c>
      <c r="B674" t="s">
        <v>3573</v>
      </c>
      <c r="C674" s="1"/>
      <c r="D674" t="s">
        <v>3574</v>
      </c>
      <c r="E674" s="2" t="s">
        <v>288</v>
      </c>
      <c r="F674" s="137" t="s">
        <v>3575</v>
      </c>
      <c r="G674" s="137" t="s">
        <v>3576</v>
      </c>
      <c r="H674" s="137" t="s">
        <v>3577</v>
      </c>
      <c r="I674" s="113" t="s">
        <v>292</v>
      </c>
      <c r="J674" s="108" t="str">
        <f t="shared" si="10"/>
        <v>129905</v>
      </c>
    </row>
    <row r="675" spans="1:10" ht="15" customHeight="1" x14ac:dyDescent="0.25">
      <c r="A675" t="str">
        <f>Table1[[#This Row],[District name]]&amp;" "&amp;Table1[[#This Row],[District number]]</f>
        <v>MADISONVILLE CISD 154901</v>
      </c>
      <c r="B675" t="s">
        <v>3578</v>
      </c>
      <c r="C675" s="1"/>
      <c r="D675" t="s">
        <v>3579</v>
      </c>
      <c r="E675" s="2" t="s">
        <v>480</v>
      </c>
      <c r="F675" s="137" t="s">
        <v>2475</v>
      </c>
      <c r="G675" s="137" t="s">
        <v>3580</v>
      </c>
      <c r="H675" s="137" t="s">
        <v>3581</v>
      </c>
      <c r="I675" s="113" t="s">
        <v>292</v>
      </c>
      <c r="J675" s="108" t="str">
        <f t="shared" si="10"/>
        <v>154901</v>
      </c>
    </row>
    <row r="676" spans="1:10" ht="15" customHeight="1" x14ac:dyDescent="0.25">
      <c r="A676" t="str">
        <f>Table1[[#This Row],[District name]]&amp;" "&amp;Table1[[#This Row],[District number]]</f>
        <v>MAGNOLIA ISD 170906</v>
      </c>
      <c r="B676" t="s">
        <v>3582</v>
      </c>
      <c r="C676" s="1"/>
      <c r="D676" t="s">
        <v>3583</v>
      </c>
      <c r="E676" s="2" t="s">
        <v>480</v>
      </c>
      <c r="F676" s="137" t="s">
        <v>3584</v>
      </c>
      <c r="G676" s="137" t="s">
        <v>3585</v>
      </c>
      <c r="H676" s="137" t="s">
        <v>777</v>
      </c>
      <c r="I676" s="113" t="s">
        <v>292</v>
      </c>
      <c r="J676" s="108" t="str">
        <f t="shared" si="10"/>
        <v>170906</v>
      </c>
    </row>
    <row r="677" spans="1:10" ht="15" customHeight="1" x14ac:dyDescent="0.25">
      <c r="A677" t="str">
        <f>Table1[[#This Row],[District name]]&amp;" "&amp;Table1[[#This Row],[District number]]</f>
        <v>MALAKOFF ISD 107906</v>
      </c>
      <c r="B677" t="s">
        <v>3586</v>
      </c>
      <c r="C677" s="1"/>
      <c r="D677" t="s">
        <v>3587</v>
      </c>
      <c r="E677" s="2" t="s">
        <v>383</v>
      </c>
      <c r="F677" s="137" t="s">
        <v>3588</v>
      </c>
      <c r="G677" s="137" t="s">
        <v>3589</v>
      </c>
      <c r="H677" s="137" t="s">
        <v>3590</v>
      </c>
      <c r="I677" s="113" t="s">
        <v>292</v>
      </c>
      <c r="J677" s="108" t="str">
        <f t="shared" si="10"/>
        <v>107906</v>
      </c>
    </row>
    <row r="678" spans="1:10" ht="15" customHeight="1" x14ac:dyDescent="0.25">
      <c r="A678" t="str">
        <f>Table1[[#This Row],[District name]]&amp;" "&amp;Table1[[#This Row],[District number]]</f>
        <v>MALONE ISD 109908</v>
      </c>
      <c r="B678" t="s">
        <v>3591</v>
      </c>
      <c r="C678" s="1"/>
      <c r="D678" t="s">
        <v>3592</v>
      </c>
      <c r="E678" s="2" t="s">
        <v>301</v>
      </c>
      <c r="F678" s="137" t="s">
        <v>3593</v>
      </c>
      <c r="G678" s="137" t="s">
        <v>3594</v>
      </c>
      <c r="H678" s="137" t="s">
        <v>3595</v>
      </c>
      <c r="I678" s="113" t="s">
        <v>292</v>
      </c>
      <c r="J678" s="108" t="str">
        <f t="shared" si="10"/>
        <v>109908</v>
      </c>
    </row>
    <row r="679" spans="1:10" ht="15" customHeight="1" x14ac:dyDescent="0.25">
      <c r="A679" t="str">
        <f>Table1[[#This Row],[District name]]&amp;" "&amp;Table1[[#This Row],[District number]]</f>
        <v>MALTA ISD 019910</v>
      </c>
      <c r="B679" t="s">
        <v>3596</v>
      </c>
      <c r="C679" s="1"/>
      <c r="D679" t="s">
        <v>3597</v>
      </c>
      <c r="E679" s="2" t="s">
        <v>587</v>
      </c>
      <c r="F679" s="137" t="s">
        <v>3598</v>
      </c>
      <c r="G679" s="137" t="s">
        <v>3599</v>
      </c>
      <c r="H679" s="137" t="s">
        <v>3600</v>
      </c>
      <c r="I679" s="113" t="s">
        <v>292</v>
      </c>
      <c r="J679" s="108" t="str">
        <f t="shared" si="10"/>
        <v>019910</v>
      </c>
    </row>
    <row r="680" spans="1:10" ht="15" customHeight="1" x14ac:dyDescent="0.25">
      <c r="A680" t="str">
        <f>Table1[[#This Row],[District name]]&amp;" "&amp;Table1[[#This Row],[District number]]</f>
        <v>MANARA ACADEMY 057844</v>
      </c>
      <c r="B680" t="s">
        <v>3601</v>
      </c>
      <c r="C680" s="1"/>
      <c r="D680" t="s">
        <v>3602</v>
      </c>
      <c r="E680" s="2" t="s">
        <v>288</v>
      </c>
      <c r="F680" s="137" t="s">
        <v>3603</v>
      </c>
      <c r="G680" s="137" t="s">
        <v>3604</v>
      </c>
      <c r="H680" s="137" t="s">
        <v>3605</v>
      </c>
      <c r="I680" s="113" t="s">
        <v>292</v>
      </c>
      <c r="J680" s="108" t="str">
        <f t="shared" si="10"/>
        <v>057844</v>
      </c>
    </row>
    <row r="681" spans="1:10" ht="15" customHeight="1" x14ac:dyDescent="0.25">
      <c r="A681" t="str">
        <f>Table1[[#This Row],[District name]]&amp;" "&amp;Table1[[#This Row],[District number]]</f>
        <v>MANOR ISD 227907</v>
      </c>
      <c r="B681" t="s">
        <v>3606</v>
      </c>
      <c r="C681" s="1"/>
      <c r="D681" t="s">
        <v>3607</v>
      </c>
      <c r="E681" s="2" t="s">
        <v>598</v>
      </c>
      <c r="F681" s="137" t="s">
        <v>3608</v>
      </c>
      <c r="G681" s="137" t="s">
        <v>3609</v>
      </c>
      <c r="H681" s="137" t="s">
        <v>3610</v>
      </c>
      <c r="I681" s="113" t="s">
        <v>292</v>
      </c>
      <c r="J681" s="108" t="str">
        <f t="shared" si="10"/>
        <v>227907</v>
      </c>
    </row>
    <row r="682" spans="1:10" ht="15" customHeight="1" x14ac:dyDescent="0.25">
      <c r="A682" t="str">
        <f>Table1[[#This Row],[District name]]&amp;" "&amp;Table1[[#This Row],[District number]]</f>
        <v>MANSFIELD ISD 220908</v>
      </c>
      <c r="B682" t="s">
        <v>3611</v>
      </c>
      <c r="C682" s="1"/>
      <c r="D682" t="s">
        <v>3612</v>
      </c>
      <c r="E682" s="2" t="s">
        <v>402</v>
      </c>
      <c r="F682" s="137" t="s">
        <v>3613</v>
      </c>
      <c r="G682" s="137" t="s">
        <v>3614</v>
      </c>
      <c r="H682" s="137" t="s">
        <v>3615</v>
      </c>
      <c r="I682" s="113" t="s">
        <v>292</v>
      </c>
      <c r="J682" s="108" t="str">
        <f t="shared" si="10"/>
        <v>220908</v>
      </c>
    </row>
    <row r="683" spans="1:10" ht="15" customHeight="1" x14ac:dyDescent="0.25">
      <c r="A683" t="str">
        <f>Table1[[#This Row],[District name]]&amp;" "&amp;Table1[[#This Row],[District number]]</f>
        <v>MARATHON ISD 022902</v>
      </c>
      <c r="B683" t="s">
        <v>3616</v>
      </c>
      <c r="C683" s="1"/>
      <c r="D683" t="s">
        <v>3617</v>
      </c>
      <c r="E683" s="2" t="s">
        <v>430</v>
      </c>
      <c r="F683" s="137" t="s">
        <v>3618</v>
      </c>
      <c r="G683" s="137" t="s">
        <v>3619</v>
      </c>
      <c r="H683" s="137" t="s">
        <v>3620</v>
      </c>
      <c r="I683" s="113" t="s">
        <v>292</v>
      </c>
      <c r="J683" s="108" t="str">
        <f t="shared" si="10"/>
        <v>022902</v>
      </c>
    </row>
    <row r="684" spans="1:10" ht="15" customHeight="1" x14ac:dyDescent="0.25">
      <c r="A684" t="str">
        <f>Table1[[#This Row],[District name]]&amp;" "&amp;Table1[[#This Row],[District number]]</f>
        <v>MARBLE FALLS ISD 027904</v>
      </c>
      <c r="B684" t="s">
        <v>3621</v>
      </c>
      <c r="C684" s="1"/>
      <c r="D684" t="s">
        <v>3622</v>
      </c>
      <c r="E684" s="2" t="s">
        <v>598</v>
      </c>
      <c r="F684" s="137" t="s">
        <v>3623</v>
      </c>
      <c r="G684" s="137" t="s">
        <v>3624</v>
      </c>
      <c r="H684" s="137" t="s">
        <v>3625</v>
      </c>
      <c r="I684" s="113" t="s">
        <v>292</v>
      </c>
      <c r="J684" s="108" t="str">
        <f t="shared" si="10"/>
        <v>027904</v>
      </c>
    </row>
    <row r="685" spans="1:10" ht="15" customHeight="1" x14ac:dyDescent="0.25">
      <c r="A685" t="str">
        <f>Table1[[#This Row],[District name]]&amp;" "&amp;Table1[[#This Row],[District number]]</f>
        <v>MARFA ISD 189901</v>
      </c>
      <c r="B685" t="s">
        <v>3626</v>
      </c>
      <c r="C685" s="1"/>
      <c r="D685" t="s">
        <v>3627</v>
      </c>
      <c r="E685" s="2" t="s">
        <v>430</v>
      </c>
      <c r="F685" s="137" t="s">
        <v>3628</v>
      </c>
      <c r="G685" s="137" t="s">
        <v>3629</v>
      </c>
      <c r="H685" s="137" t="s">
        <v>3630</v>
      </c>
      <c r="I685" s="113" t="s">
        <v>292</v>
      </c>
      <c r="J685" s="108" t="str">
        <f t="shared" si="10"/>
        <v>189901</v>
      </c>
    </row>
    <row r="686" spans="1:10" ht="15" customHeight="1" x14ac:dyDescent="0.25">
      <c r="A686" t="str">
        <f>Table1[[#This Row],[District name]]&amp;" "&amp;Table1[[#This Row],[District number]]</f>
        <v>MARION ISD 094904</v>
      </c>
      <c r="B686" t="s">
        <v>3631</v>
      </c>
      <c r="C686" s="1"/>
      <c r="D686" t="s">
        <v>3632</v>
      </c>
      <c r="E686" s="2" t="s">
        <v>598</v>
      </c>
      <c r="F686" s="137" t="s">
        <v>2864</v>
      </c>
      <c r="G686" s="137" t="s">
        <v>3633</v>
      </c>
      <c r="H686" s="137" t="s">
        <v>3634</v>
      </c>
      <c r="I686" s="113" t="s">
        <v>292</v>
      </c>
      <c r="J686" s="108" t="str">
        <f t="shared" si="10"/>
        <v>094904</v>
      </c>
    </row>
    <row r="687" spans="1:10" ht="15" customHeight="1" x14ac:dyDescent="0.25">
      <c r="A687" t="str">
        <f>Table1[[#This Row],[District name]]&amp;" "&amp;Table1[[#This Row],[District number]]</f>
        <v>MARLIN ISD 073903</v>
      </c>
      <c r="B687" t="s">
        <v>3635</v>
      </c>
      <c r="C687" s="1"/>
      <c r="D687" t="s">
        <v>3636</v>
      </c>
      <c r="E687" s="2" t="s">
        <v>301</v>
      </c>
      <c r="F687" s="137" t="s">
        <v>3637</v>
      </c>
      <c r="G687" s="137" t="s">
        <v>3638</v>
      </c>
      <c r="H687" s="137" t="s">
        <v>3639</v>
      </c>
      <c r="I687" s="113" t="s">
        <v>292</v>
      </c>
      <c r="J687" s="108" t="str">
        <f t="shared" si="10"/>
        <v>073903</v>
      </c>
    </row>
    <row r="688" spans="1:10" ht="15" customHeight="1" x14ac:dyDescent="0.25">
      <c r="A688" t="str">
        <f>Table1[[#This Row],[District name]]&amp;" "&amp;Table1[[#This Row],[District number]]</f>
        <v>MARSHALL ISD 102902</v>
      </c>
      <c r="B688" t="s">
        <v>3640</v>
      </c>
      <c r="C688" s="1"/>
      <c r="D688" t="s">
        <v>3641</v>
      </c>
      <c r="E688" s="2" t="s">
        <v>383</v>
      </c>
      <c r="F688" s="137" t="s">
        <v>1679</v>
      </c>
      <c r="G688" s="137" t="s">
        <v>3566</v>
      </c>
      <c r="H688" s="137" t="s">
        <v>3567</v>
      </c>
      <c r="I688" s="113" t="s">
        <v>292</v>
      </c>
      <c r="J688" s="108" t="str">
        <f t="shared" si="10"/>
        <v>102902</v>
      </c>
    </row>
    <row r="689" spans="1:10" ht="15" customHeight="1" x14ac:dyDescent="0.25">
      <c r="A689" t="str">
        <f>Table1[[#This Row],[District name]]&amp;" "&amp;Table1[[#This Row],[District number]]</f>
        <v>MART ISD 161908</v>
      </c>
      <c r="B689" t="s">
        <v>3642</v>
      </c>
      <c r="C689" s="1"/>
      <c r="D689" t="s">
        <v>3643</v>
      </c>
      <c r="E689" s="2" t="s">
        <v>301</v>
      </c>
      <c r="F689" s="137" t="s">
        <v>776</v>
      </c>
      <c r="G689" s="137" t="s">
        <v>777</v>
      </c>
      <c r="H689" s="137" t="s">
        <v>3644</v>
      </c>
      <c r="I689" s="113" t="s">
        <v>292</v>
      </c>
      <c r="J689" s="108" t="str">
        <f t="shared" si="10"/>
        <v>161908</v>
      </c>
    </row>
    <row r="690" spans="1:10" ht="15" customHeight="1" x14ac:dyDescent="0.25">
      <c r="A690" t="str">
        <f>Table1[[#This Row],[District name]]&amp;" "&amp;Table1[[#This Row],[District number]]</f>
        <v>MARTINS MILL ISD 234905</v>
      </c>
      <c r="B690" t="s">
        <v>3645</v>
      </c>
      <c r="C690" s="1"/>
      <c r="D690" t="s">
        <v>3646</v>
      </c>
      <c r="E690" s="2" t="s">
        <v>383</v>
      </c>
      <c r="F690" s="137" t="s">
        <v>3647</v>
      </c>
      <c r="G690" s="137" t="s">
        <v>3648</v>
      </c>
      <c r="H690" s="137" t="s">
        <v>3649</v>
      </c>
      <c r="I690" s="113" t="s">
        <v>292</v>
      </c>
      <c r="J690" s="108" t="str">
        <f t="shared" si="10"/>
        <v>234905</v>
      </c>
    </row>
    <row r="691" spans="1:10" ht="15" customHeight="1" x14ac:dyDescent="0.25">
      <c r="A691" t="str">
        <f>Table1[[#This Row],[District name]]&amp;" "&amp;Table1[[#This Row],[District number]]</f>
        <v>MARTINSVILLE ISD 174909</v>
      </c>
      <c r="B691" t="s">
        <v>3650</v>
      </c>
      <c r="C691" s="1"/>
      <c r="D691" t="s">
        <v>3651</v>
      </c>
      <c r="E691" s="2" t="s">
        <v>383</v>
      </c>
      <c r="F691" s="137" t="s">
        <v>854</v>
      </c>
      <c r="G691" s="137" t="s">
        <v>855</v>
      </c>
      <c r="H691" s="137" t="s">
        <v>3652</v>
      </c>
      <c r="I691" s="113" t="s">
        <v>292</v>
      </c>
      <c r="J691" s="108" t="str">
        <f t="shared" si="10"/>
        <v>174909</v>
      </c>
    </row>
    <row r="692" spans="1:10" ht="15" customHeight="1" x14ac:dyDescent="0.25">
      <c r="A692" t="str">
        <f>Table1[[#This Row],[District name]]&amp;" "&amp;Table1[[#This Row],[District number]]</f>
        <v>MASON ISD 157901</v>
      </c>
      <c r="B692" t="s">
        <v>3653</v>
      </c>
      <c r="C692" s="1"/>
      <c r="D692" t="s">
        <v>3654</v>
      </c>
      <c r="E692" s="2" t="s">
        <v>650</v>
      </c>
      <c r="F692" s="137" t="s">
        <v>3655</v>
      </c>
      <c r="G692" s="137" t="s">
        <v>3656</v>
      </c>
      <c r="H692" s="137" t="s">
        <v>3657</v>
      </c>
      <c r="I692" s="113" t="s">
        <v>292</v>
      </c>
      <c r="J692" s="108" t="str">
        <f t="shared" si="10"/>
        <v>157901</v>
      </c>
    </row>
    <row r="693" spans="1:10" ht="15" customHeight="1" x14ac:dyDescent="0.25">
      <c r="A693" t="str">
        <f>Table1[[#This Row],[District name]]&amp;" "&amp;Table1[[#This Row],[District number]]</f>
        <v>MATAGORDA ISD 158904</v>
      </c>
      <c r="B693" t="s">
        <v>3658</v>
      </c>
      <c r="C693" s="1"/>
      <c r="D693" t="s">
        <v>3659</v>
      </c>
      <c r="E693" s="2" t="s">
        <v>614</v>
      </c>
      <c r="F693" s="137" t="s">
        <v>3660</v>
      </c>
      <c r="G693" s="137" t="s">
        <v>3661</v>
      </c>
      <c r="H693" s="137" t="s">
        <v>3662</v>
      </c>
      <c r="I693" s="113" t="s">
        <v>292</v>
      </c>
      <c r="J693" s="108" t="str">
        <f t="shared" si="10"/>
        <v>158904</v>
      </c>
    </row>
    <row r="694" spans="1:10" ht="15" customHeight="1" x14ac:dyDescent="0.25">
      <c r="A694" t="str">
        <f>Table1[[#This Row],[District name]]&amp;" "&amp;Table1[[#This Row],[District number]]</f>
        <v>MATHIS ISD 205904</v>
      </c>
      <c r="B694" t="s">
        <v>3663</v>
      </c>
      <c r="C694" s="1"/>
      <c r="D694" t="s">
        <v>3664</v>
      </c>
      <c r="E694" s="2" t="s">
        <v>369</v>
      </c>
      <c r="F694" s="137" t="s">
        <v>3665</v>
      </c>
      <c r="G694" s="137" t="s">
        <v>3666</v>
      </c>
      <c r="H694" s="137" t="s">
        <v>3667</v>
      </c>
      <c r="I694" s="113" t="s">
        <v>292</v>
      </c>
      <c r="J694" s="108" t="str">
        <f t="shared" si="10"/>
        <v>205904</v>
      </c>
    </row>
    <row r="695" spans="1:10" ht="15" customHeight="1" x14ac:dyDescent="0.25">
      <c r="A695" t="str">
        <f>Table1[[#This Row],[District name]]&amp;" "&amp;Table1[[#This Row],[District number]]</f>
        <v>MAUD ISD 019903</v>
      </c>
      <c r="B695" t="s">
        <v>3668</v>
      </c>
      <c r="C695" s="1"/>
      <c r="D695" t="s">
        <v>3669</v>
      </c>
      <c r="E695" s="2" t="s">
        <v>587</v>
      </c>
      <c r="F695" s="137" t="s">
        <v>3670</v>
      </c>
      <c r="G695" s="137" t="s">
        <v>3671</v>
      </c>
      <c r="H695" s="137" t="s">
        <v>3672</v>
      </c>
      <c r="I695" s="113" t="s">
        <v>292</v>
      </c>
      <c r="J695" s="108" t="str">
        <f t="shared" si="10"/>
        <v>019903</v>
      </c>
    </row>
    <row r="696" spans="1:10" ht="15" customHeight="1" x14ac:dyDescent="0.25">
      <c r="A696" t="str">
        <f>Table1[[#This Row],[District name]]&amp;" "&amp;Table1[[#This Row],[District number]]</f>
        <v>MAY ISD 025905</v>
      </c>
      <c r="B696" t="s">
        <v>3673</v>
      </c>
      <c r="C696" s="1"/>
      <c r="D696" t="s">
        <v>3674</v>
      </c>
      <c r="E696" s="2" t="s">
        <v>650</v>
      </c>
      <c r="F696" s="137" t="s">
        <v>3675</v>
      </c>
      <c r="G696" s="137" t="s">
        <v>912</v>
      </c>
      <c r="H696" s="137" t="s">
        <v>3676</v>
      </c>
      <c r="I696" s="113" t="s">
        <v>292</v>
      </c>
      <c r="J696" s="108" t="str">
        <f t="shared" si="10"/>
        <v>025905</v>
      </c>
    </row>
    <row r="697" spans="1:10" ht="15" customHeight="1" x14ac:dyDescent="0.25">
      <c r="A697" t="str">
        <f>Table1[[#This Row],[District name]]&amp;" "&amp;Table1[[#This Row],[District number]]</f>
        <v>MAYPEARL ISD 070915</v>
      </c>
      <c r="B697" t="s">
        <v>3677</v>
      </c>
      <c r="C697" s="1"/>
      <c r="D697" t="s">
        <v>3678</v>
      </c>
      <c r="E697" s="2" t="s">
        <v>288</v>
      </c>
      <c r="F697" s="137" t="s">
        <v>3679</v>
      </c>
      <c r="G697" s="137" t="s">
        <v>3680</v>
      </c>
      <c r="H697" s="137" t="s">
        <v>3681</v>
      </c>
      <c r="I697" s="113" t="s">
        <v>292</v>
      </c>
      <c r="J697" s="108" t="str">
        <f t="shared" si="10"/>
        <v>070915</v>
      </c>
    </row>
    <row r="698" spans="1:10" ht="15" customHeight="1" x14ac:dyDescent="0.25">
      <c r="A698" t="str">
        <f>Table1[[#This Row],[District name]]&amp;" "&amp;Table1[[#This Row],[District number]]</f>
        <v>MCALLEN ISD 108906</v>
      </c>
      <c r="B698" t="s">
        <v>3682</v>
      </c>
      <c r="C698" s="1"/>
      <c r="D698" t="s">
        <v>3683</v>
      </c>
      <c r="E698" s="2" t="s">
        <v>982</v>
      </c>
      <c r="F698" s="137" t="s">
        <v>3684</v>
      </c>
      <c r="G698" s="137" t="s">
        <v>3685</v>
      </c>
      <c r="H698" s="137" t="s">
        <v>3686</v>
      </c>
      <c r="I698" s="113" t="s">
        <v>292</v>
      </c>
      <c r="J698" s="108" t="str">
        <f t="shared" si="10"/>
        <v>108906</v>
      </c>
    </row>
    <row r="699" spans="1:10" ht="15" customHeight="1" x14ac:dyDescent="0.25">
      <c r="A699" t="str">
        <f>Table1[[#This Row],[District name]]&amp;" "&amp;Table1[[#This Row],[District number]]</f>
        <v>MCCAMEY ISD 231901</v>
      </c>
      <c r="B699" t="s">
        <v>3687</v>
      </c>
      <c r="C699" s="1"/>
      <c r="D699" t="s">
        <v>3688</v>
      </c>
      <c r="E699" s="2" t="s">
        <v>430</v>
      </c>
      <c r="F699" s="137" t="s">
        <v>2504</v>
      </c>
      <c r="G699" s="137" t="s">
        <v>3689</v>
      </c>
      <c r="H699" s="137" t="s">
        <v>3690</v>
      </c>
      <c r="I699" s="113" t="s">
        <v>292</v>
      </c>
      <c r="J699" s="108" t="str">
        <f t="shared" si="10"/>
        <v>231901</v>
      </c>
    </row>
    <row r="700" spans="1:10" ht="15" customHeight="1" x14ac:dyDescent="0.25">
      <c r="A700" t="str">
        <f>Table1[[#This Row],[District name]]&amp;" "&amp;Table1[[#This Row],[District number]]</f>
        <v>MCDADE ISD 011905</v>
      </c>
      <c r="B700" t="s">
        <v>3691</v>
      </c>
      <c r="C700" s="1"/>
      <c r="D700" t="s">
        <v>3692</v>
      </c>
      <c r="E700" s="2" t="s">
        <v>598</v>
      </c>
      <c r="F700" s="137" t="s">
        <v>3598</v>
      </c>
      <c r="G700" s="137" t="s">
        <v>3693</v>
      </c>
      <c r="H700" s="137" t="s">
        <v>3694</v>
      </c>
      <c r="I700" s="113" t="s">
        <v>292</v>
      </c>
      <c r="J700" s="108" t="str">
        <f t="shared" si="10"/>
        <v>011905</v>
      </c>
    </row>
    <row r="701" spans="1:10" ht="15" customHeight="1" x14ac:dyDescent="0.25">
      <c r="A701" t="str">
        <f>Table1[[#This Row],[District name]]&amp;" "&amp;Table1[[#This Row],[District number]]</f>
        <v>MCGREGOR ISD 161909</v>
      </c>
      <c r="B701" t="s">
        <v>3695</v>
      </c>
      <c r="C701" s="1"/>
      <c r="D701" t="s">
        <v>3696</v>
      </c>
      <c r="E701" s="2" t="s">
        <v>301</v>
      </c>
      <c r="F701" s="137" t="s">
        <v>3697</v>
      </c>
      <c r="G701" s="137" t="s">
        <v>3698</v>
      </c>
      <c r="H701" s="137" t="s">
        <v>3699</v>
      </c>
      <c r="I701" s="113" t="s">
        <v>292</v>
      </c>
      <c r="J701" s="108" t="str">
        <f t="shared" si="10"/>
        <v>161909</v>
      </c>
    </row>
    <row r="702" spans="1:10" ht="15" customHeight="1" x14ac:dyDescent="0.25">
      <c r="A702" t="str">
        <f>Table1[[#This Row],[District name]]&amp;" "&amp;Table1[[#This Row],[District number]]</f>
        <v>MCKINNEY ISD 043907</v>
      </c>
      <c r="B702" t="s">
        <v>3700</v>
      </c>
      <c r="C702" s="1"/>
      <c r="D702" t="s">
        <v>3701</v>
      </c>
      <c r="E702" s="2" t="s">
        <v>288</v>
      </c>
      <c r="F702" s="137" t="s">
        <v>3702</v>
      </c>
      <c r="G702" s="137" t="s">
        <v>3703</v>
      </c>
      <c r="H702" s="137" t="s">
        <v>3704</v>
      </c>
      <c r="I702" s="113" t="s">
        <v>292</v>
      </c>
      <c r="J702" s="108" t="str">
        <f t="shared" si="10"/>
        <v>043907</v>
      </c>
    </row>
    <row r="703" spans="1:10" ht="15" customHeight="1" x14ac:dyDescent="0.25">
      <c r="A703" t="str">
        <f>Table1[[#This Row],[District name]]&amp;" "&amp;Table1[[#This Row],[District number]]</f>
        <v>MCLEAN ISD 090903</v>
      </c>
      <c r="B703" t="s">
        <v>3705</v>
      </c>
      <c r="C703" s="1"/>
      <c r="D703" t="s">
        <v>3706</v>
      </c>
      <c r="E703" s="2" t="s">
        <v>356</v>
      </c>
      <c r="F703" s="137" t="s">
        <v>3707</v>
      </c>
      <c r="G703" s="137" t="s">
        <v>3708</v>
      </c>
      <c r="H703" s="137" t="s">
        <v>3709</v>
      </c>
      <c r="I703" s="113" t="s">
        <v>292</v>
      </c>
      <c r="J703" s="108" t="str">
        <f t="shared" si="10"/>
        <v>090903</v>
      </c>
    </row>
    <row r="704" spans="1:10" ht="15" customHeight="1" x14ac:dyDescent="0.25">
      <c r="A704" t="str">
        <f>Table1[[#This Row],[District name]]&amp;" "&amp;Table1[[#This Row],[District number]]</f>
        <v>MCLEOD ISD 034906</v>
      </c>
      <c r="B704" t="s">
        <v>3710</v>
      </c>
      <c r="C704" s="1"/>
      <c r="D704" t="s">
        <v>3711</v>
      </c>
      <c r="E704" s="2" t="s">
        <v>587</v>
      </c>
      <c r="F704" s="137" t="s">
        <v>3712</v>
      </c>
      <c r="G704" s="137" t="s">
        <v>3713</v>
      </c>
      <c r="H704" s="137" t="s">
        <v>3714</v>
      </c>
      <c r="I704" s="113" t="s">
        <v>292</v>
      </c>
      <c r="J704" s="108" t="str">
        <f t="shared" si="10"/>
        <v>034906</v>
      </c>
    </row>
    <row r="705" spans="1:10" ht="15" customHeight="1" x14ac:dyDescent="0.25">
      <c r="A705" t="str">
        <f>Table1[[#This Row],[District name]]&amp;" "&amp;Table1[[#This Row],[District number]]</f>
        <v>MCMULLEN COUNTY ISD 162904</v>
      </c>
      <c r="B705" t="s">
        <v>3715</v>
      </c>
      <c r="C705" s="1"/>
      <c r="D705" t="s">
        <v>3716</v>
      </c>
      <c r="E705" s="2" t="s">
        <v>369</v>
      </c>
      <c r="F705" s="137" t="s">
        <v>3717</v>
      </c>
      <c r="G705" s="137" t="s">
        <v>3718</v>
      </c>
      <c r="H705" s="137" t="s">
        <v>3719</v>
      </c>
      <c r="I705" s="113" t="s">
        <v>292</v>
      </c>
      <c r="J705" s="108" t="str">
        <f t="shared" si="10"/>
        <v>162904</v>
      </c>
    </row>
    <row r="706" spans="1:10" ht="15" customHeight="1" x14ac:dyDescent="0.25">
      <c r="A706" t="str">
        <f>Table1[[#This Row],[District name]]&amp;" "&amp;Table1[[#This Row],[District number]]</f>
        <v>MEADOW ISD 223902</v>
      </c>
      <c r="B706" t="s">
        <v>3720</v>
      </c>
      <c r="C706" s="1"/>
      <c r="D706" t="s">
        <v>3721</v>
      </c>
      <c r="E706" s="2" t="s">
        <v>308</v>
      </c>
      <c r="F706" s="137" t="s">
        <v>3722</v>
      </c>
      <c r="G706" s="137" t="s">
        <v>3723</v>
      </c>
      <c r="H706" s="137" t="s">
        <v>3724</v>
      </c>
      <c r="I706" s="113" t="s">
        <v>292</v>
      </c>
      <c r="J706" s="108" t="str">
        <f t="shared" si="10"/>
        <v>223902</v>
      </c>
    </row>
    <row r="707" spans="1:10" ht="15" customHeight="1" x14ac:dyDescent="0.25">
      <c r="A707" t="str">
        <f>Table1[[#This Row],[District name]]&amp;" "&amp;Table1[[#This Row],[District number]]</f>
        <v>MEADOWLAND CHARTER DISTRICT 130801</v>
      </c>
      <c r="B707" t="s">
        <v>3725</v>
      </c>
      <c r="C707" s="1"/>
      <c r="D707" t="s">
        <v>3726</v>
      </c>
      <c r="E707" s="2" t="s">
        <v>598</v>
      </c>
      <c r="F707" s="137" t="s">
        <v>3727</v>
      </c>
      <c r="G707" s="137" t="s">
        <v>3728</v>
      </c>
      <c r="H707" s="137" t="s">
        <v>3729</v>
      </c>
      <c r="I707" s="113" t="s">
        <v>292</v>
      </c>
      <c r="J707" s="108" t="str">
        <f t="shared" si="10"/>
        <v>130801</v>
      </c>
    </row>
    <row r="708" spans="1:10" ht="15" customHeight="1" x14ac:dyDescent="0.25">
      <c r="A708" t="str">
        <f>Table1[[#This Row],[District name]]&amp;" "&amp;Table1[[#This Row],[District number]]</f>
        <v>MEDINA ISD 010901</v>
      </c>
      <c r="B708" t="s">
        <v>3730</v>
      </c>
      <c r="C708" s="1"/>
      <c r="D708" t="s">
        <v>3731</v>
      </c>
      <c r="E708" s="2" t="s">
        <v>376</v>
      </c>
      <c r="F708" s="137" t="s">
        <v>3732</v>
      </c>
      <c r="G708" s="137" t="s">
        <v>3733</v>
      </c>
      <c r="H708" s="137" t="s">
        <v>3734</v>
      </c>
      <c r="I708" s="113" t="s">
        <v>292</v>
      </c>
      <c r="J708" s="108" t="str">
        <f t="shared" si="10"/>
        <v>010901</v>
      </c>
    </row>
    <row r="709" spans="1:10" ht="15" customHeight="1" x14ac:dyDescent="0.25">
      <c r="A709" t="str">
        <f>Table1[[#This Row],[District name]]&amp;" "&amp;Table1[[#This Row],[District number]]</f>
        <v>MEDINA VALLEY ISD 163908</v>
      </c>
      <c r="B709" t="s">
        <v>3735</v>
      </c>
      <c r="C709" s="1"/>
      <c r="D709" t="s">
        <v>3736</v>
      </c>
      <c r="E709" s="2" t="s">
        <v>376</v>
      </c>
      <c r="F709" s="137" t="s">
        <v>3737</v>
      </c>
      <c r="G709" s="137" t="s">
        <v>3738</v>
      </c>
      <c r="H709" s="137" t="s">
        <v>3739</v>
      </c>
      <c r="I709" s="113" t="s">
        <v>292</v>
      </c>
      <c r="J709" s="108" t="str">
        <f t="shared" si="10"/>
        <v>163908</v>
      </c>
    </row>
    <row r="710" spans="1:10" ht="15" customHeight="1" x14ac:dyDescent="0.25">
      <c r="A710" t="str">
        <f>Table1[[#This Row],[District name]]&amp;" "&amp;Table1[[#This Row],[District number]]</f>
        <v>MELISSA ISD 043908</v>
      </c>
      <c r="B710" t="s">
        <v>3740</v>
      </c>
      <c r="C710" s="1"/>
      <c r="D710" t="s">
        <v>3741</v>
      </c>
      <c r="E710" s="2" t="s">
        <v>288</v>
      </c>
      <c r="F710" s="137" t="s">
        <v>3742</v>
      </c>
      <c r="G710" s="137" t="s">
        <v>350</v>
      </c>
      <c r="H710" s="137" t="s">
        <v>3743</v>
      </c>
      <c r="I710" s="113" t="s">
        <v>292</v>
      </c>
      <c r="J710" s="108" t="str">
        <f t="shared" ref="J710:J773" si="11">LEFT(B710,6)</f>
        <v>043908</v>
      </c>
    </row>
    <row r="711" spans="1:10" ht="15" customHeight="1" x14ac:dyDescent="0.25">
      <c r="A711" t="str">
        <f>Table1[[#This Row],[District name]]&amp;" "&amp;Table1[[#This Row],[District number]]</f>
        <v>MEMPHIS ISD 096904</v>
      </c>
      <c r="B711" t="s">
        <v>3744</v>
      </c>
      <c r="C711" s="1"/>
      <c r="D711" t="s">
        <v>3745</v>
      </c>
      <c r="E711" s="2" t="s">
        <v>356</v>
      </c>
      <c r="F711" s="137" t="s">
        <v>3746</v>
      </c>
      <c r="G711" s="137" t="s">
        <v>3747</v>
      </c>
      <c r="H711" s="137" t="s">
        <v>3748</v>
      </c>
      <c r="I711" s="113" t="s">
        <v>292</v>
      </c>
      <c r="J711" s="108" t="str">
        <f t="shared" si="11"/>
        <v>096904</v>
      </c>
    </row>
    <row r="712" spans="1:10" ht="15" customHeight="1" x14ac:dyDescent="0.25">
      <c r="A712" t="str">
        <f>Table1[[#This Row],[District name]]&amp;" "&amp;Table1[[#This Row],[District number]]</f>
        <v>MENARD ISD 164901</v>
      </c>
      <c r="B712" t="s">
        <v>3749</v>
      </c>
      <c r="C712" s="1"/>
      <c r="D712" t="s">
        <v>3750</v>
      </c>
      <c r="E712" s="2" t="s">
        <v>650</v>
      </c>
      <c r="F712" s="137" t="s">
        <v>3751</v>
      </c>
      <c r="G712" s="137" t="s">
        <v>3752</v>
      </c>
      <c r="H712" s="137" t="s">
        <v>3753</v>
      </c>
      <c r="I712" s="113" t="s">
        <v>292</v>
      </c>
      <c r="J712" s="108" t="str">
        <f t="shared" si="11"/>
        <v>164901</v>
      </c>
    </row>
    <row r="713" spans="1:10" ht="15" customHeight="1" x14ac:dyDescent="0.25">
      <c r="A713" t="str">
        <f>Table1[[#This Row],[District name]]&amp;" "&amp;Table1[[#This Row],[District number]]</f>
        <v>MERCEDES ISD 108907</v>
      </c>
      <c r="B713" t="s">
        <v>3754</v>
      </c>
      <c r="C713" s="1"/>
      <c r="D713" t="s">
        <v>3755</v>
      </c>
      <c r="E713" s="2" t="s">
        <v>982</v>
      </c>
      <c r="F713" s="137" t="s">
        <v>3756</v>
      </c>
      <c r="G713" s="137" t="s">
        <v>3757</v>
      </c>
      <c r="H713" s="137" t="s">
        <v>3758</v>
      </c>
      <c r="I713" s="113" t="s">
        <v>292</v>
      </c>
      <c r="J713" s="108" t="str">
        <f t="shared" si="11"/>
        <v>108907</v>
      </c>
    </row>
    <row r="714" spans="1:10" ht="15" customHeight="1" x14ac:dyDescent="0.25">
      <c r="A714" t="str">
        <f>Table1[[#This Row],[District name]]&amp;" "&amp;Table1[[#This Row],[District number]]</f>
        <v>MERIDIAN ISD 018902</v>
      </c>
      <c r="B714" t="s">
        <v>3759</v>
      </c>
      <c r="C714" s="1"/>
      <c r="D714" t="s">
        <v>3760</v>
      </c>
      <c r="E714" s="2" t="s">
        <v>301</v>
      </c>
      <c r="F714" s="137" t="s">
        <v>3761</v>
      </c>
      <c r="G714" s="137" t="s">
        <v>3762</v>
      </c>
      <c r="H714" s="137" t="s">
        <v>3763</v>
      </c>
      <c r="I714" s="113" t="s">
        <v>292</v>
      </c>
      <c r="J714" s="108" t="str">
        <f t="shared" si="11"/>
        <v>018902</v>
      </c>
    </row>
    <row r="715" spans="1:10" ht="15" customHeight="1" x14ac:dyDescent="0.25">
      <c r="A715" t="str">
        <f>Table1[[#This Row],[District name]]&amp;" "&amp;Table1[[#This Row],[District number]]</f>
        <v>MERIDIAN WORLD SCHOOL LLC 246801</v>
      </c>
      <c r="B715" t="s">
        <v>3764</v>
      </c>
      <c r="C715" s="1"/>
      <c r="D715" t="s">
        <v>3765</v>
      </c>
      <c r="E715" s="2" t="s">
        <v>598</v>
      </c>
      <c r="F715" s="137" t="s">
        <v>3766</v>
      </c>
      <c r="G715" s="137" t="s">
        <v>3767</v>
      </c>
      <c r="H715" s="137" t="s">
        <v>3768</v>
      </c>
      <c r="I715" s="113" t="s">
        <v>292</v>
      </c>
      <c r="J715" s="108" t="str">
        <f t="shared" si="11"/>
        <v>246801</v>
      </c>
    </row>
    <row r="716" spans="1:10" ht="15" customHeight="1" x14ac:dyDescent="0.25">
      <c r="A716" t="str">
        <f>Table1[[#This Row],[District name]]&amp;" "&amp;Table1[[#This Row],[District number]]</f>
        <v>MERKEL ISD 221904</v>
      </c>
      <c r="B716" t="s">
        <v>3769</v>
      </c>
      <c r="C716" s="1"/>
      <c r="D716" t="s">
        <v>3770</v>
      </c>
      <c r="E716" s="2" t="s">
        <v>314</v>
      </c>
      <c r="F716" s="137" t="s">
        <v>3771</v>
      </c>
      <c r="G716" s="137" t="s">
        <v>3772</v>
      </c>
      <c r="H716" s="137" t="s">
        <v>3773</v>
      </c>
      <c r="I716" s="113" t="s">
        <v>292</v>
      </c>
      <c r="J716" s="108" t="str">
        <f t="shared" si="11"/>
        <v>221904</v>
      </c>
    </row>
    <row r="717" spans="1:10" ht="15" customHeight="1" x14ac:dyDescent="0.25">
      <c r="A717" t="str">
        <f>Table1[[#This Row],[District name]]&amp;" "&amp;Table1[[#This Row],[District number]]</f>
        <v>MESQUITE ISD 057914</v>
      </c>
      <c r="B717" t="s">
        <v>3774</v>
      </c>
      <c r="C717" s="1"/>
      <c r="D717" t="s">
        <v>3775</v>
      </c>
      <c r="E717" s="2" t="s">
        <v>288</v>
      </c>
      <c r="F717" s="137" t="s">
        <v>3776</v>
      </c>
      <c r="G717" s="137" t="s">
        <v>3777</v>
      </c>
      <c r="H717" s="137" t="s">
        <v>3778</v>
      </c>
      <c r="I717" s="113" t="s">
        <v>292</v>
      </c>
      <c r="J717" s="108" t="str">
        <f t="shared" si="11"/>
        <v>057914</v>
      </c>
    </row>
    <row r="718" spans="1:10" ht="15" customHeight="1" x14ac:dyDescent="0.25">
      <c r="A718" t="str">
        <f>Table1[[#This Row],[District name]]&amp;" "&amp;Table1[[#This Row],[District number]]</f>
        <v>MEXIA ISD 147903</v>
      </c>
      <c r="B718" t="s">
        <v>3779</v>
      </c>
      <c r="C718" s="1"/>
      <c r="D718" t="s">
        <v>3780</v>
      </c>
      <c r="E718" s="2" t="s">
        <v>301</v>
      </c>
      <c r="F718" s="137" t="s">
        <v>3781</v>
      </c>
      <c r="G718" s="137" t="s">
        <v>3782</v>
      </c>
      <c r="H718" s="137" t="s">
        <v>3783</v>
      </c>
      <c r="I718" s="113" t="s">
        <v>292</v>
      </c>
      <c r="J718" s="108" t="str">
        <f t="shared" si="11"/>
        <v>147903</v>
      </c>
    </row>
    <row r="719" spans="1:10" ht="15" customHeight="1" x14ac:dyDescent="0.25">
      <c r="A719" t="str">
        <f>Table1[[#This Row],[District name]]&amp;" "&amp;Table1[[#This Row],[District number]]</f>
        <v>MEYERPARK ELEMENTARY 101855</v>
      </c>
      <c r="B719" t="s">
        <v>3784</v>
      </c>
      <c r="C719" s="1"/>
      <c r="D719" t="s">
        <v>3785</v>
      </c>
      <c r="E719" s="2" t="s">
        <v>295</v>
      </c>
      <c r="F719" s="137" t="s">
        <v>3786</v>
      </c>
      <c r="G719" s="137" t="s">
        <v>3787</v>
      </c>
      <c r="H719" s="137" t="s">
        <v>3788</v>
      </c>
      <c r="I719" s="113" t="s">
        <v>292</v>
      </c>
      <c r="J719" s="108" t="str">
        <f t="shared" si="11"/>
        <v>101855</v>
      </c>
    </row>
    <row r="720" spans="1:10" ht="15" customHeight="1" x14ac:dyDescent="0.25">
      <c r="A720" t="str">
        <f>Table1[[#This Row],[District name]]&amp;" "&amp;Table1[[#This Row],[District number]]</f>
        <v>MEYERSVILLE ISD 062906</v>
      </c>
      <c r="B720" t="s">
        <v>3789</v>
      </c>
      <c r="C720" s="1"/>
      <c r="D720" t="s">
        <v>3790</v>
      </c>
      <c r="E720" s="2" t="s">
        <v>614</v>
      </c>
      <c r="F720" s="137" t="s">
        <v>3791</v>
      </c>
      <c r="G720" s="137" t="s">
        <v>3792</v>
      </c>
      <c r="H720" s="137" t="s">
        <v>3793</v>
      </c>
      <c r="I720" s="113" t="s">
        <v>292</v>
      </c>
      <c r="J720" s="108" t="str">
        <f t="shared" si="11"/>
        <v>062906</v>
      </c>
    </row>
    <row r="721" spans="1:10" ht="15" customHeight="1" x14ac:dyDescent="0.25">
      <c r="A721" t="str">
        <f>Table1[[#This Row],[District name]]&amp;" "&amp;Table1[[#This Row],[District number]]</f>
        <v>MIAMI ISD 197902</v>
      </c>
      <c r="B721" t="s">
        <v>3794</v>
      </c>
      <c r="C721" s="1"/>
      <c r="D721" t="s">
        <v>3795</v>
      </c>
      <c r="E721" s="2" t="s">
        <v>356</v>
      </c>
      <c r="F721" s="137" t="s">
        <v>3796</v>
      </c>
      <c r="G721" s="137" t="s">
        <v>3797</v>
      </c>
      <c r="H721" s="137" t="s">
        <v>3798</v>
      </c>
      <c r="I721" s="113" t="s">
        <v>292</v>
      </c>
      <c r="J721" s="108" t="str">
        <f t="shared" si="11"/>
        <v>197902</v>
      </c>
    </row>
    <row r="722" spans="1:10" ht="15" customHeight="1" x14ac:dyDescent="0.25">
      <c r="A722" t="str">
        <f>Table1[[#This Row],[District name]]&amp;" "&amp;Table1[[#This Row],[District number]]</f>
        <v>MIDLAND ACADEMY CHARTER SCHOOL 165802</v>
      </c>
      <c r="B722" t="s">
        <v>3799</v>
      </c>
      <c r="C722" s="1"/>
      <c r="D722" t="s">
        <v>3800</v>
      </c>
      <c r="E722" s="2" t="s">
        <v>430</v>
      </c>
      <c r="F722" s="137" t="s">
        <v>3801</v>
      </c>
      <c r="G722" s="137" t="s">
        <v>3802</v>
      </c>
      <c r="H722" s="137" t="s">
        <v>3803</v>
      </c>
      <c r="I722" s="113" t="s">
        <v>292</v>
      </c>
      <c r="J722" s="108" t="str">
        <f t="shared" si="11"/>
        <v>165802</v>
      </c>
    </row>
    <row r="723" spans="1:10" ht="15" customHeight="1" x14ac:dyDescent="0.25">
      <c r="A723" t="str">
        <f>Table1[[#This Row],[District name]]&amp;" "&amp;Table1[[#This Row],[District number]]</f>
        <v>MIDLAND ISD 165901</v>
      </c>
      <c r="B723" t="s">
        <v>3804</v>
      </c>
      <c r="C723" s="1"/>
      <c r="D723" t="s">
        <v>3805</v>
      </c>
      <c r="E723" s="2" t="s">
        <v>430</v>
      </c>
      <c r="F723" s="137" t="s">
        <v>3806</v>
      </c>
      <c r="G723" s="137" t="s">
        <v>3807</v>
      </c>
      <c r="H723" s="137" t="s">
        <v>3808</v>
      </c>
      <c r="I723" s="113" t="s">
        <v>292</v>
      </c>
      <c r="J723" s="108" t="str">
        <f t="shared" si="11"/>
        <v>165901</v>
      </c>
    </row>
    <row r="724" spans="1:10" ht="15" customHeight="1" x14ac:dyDescent="0.25">
      <c r="A724" t="str">
        <f>Table1[[#This Row],[District name]]&amp;" "&amp;Table1[[#This Row],[District number]]</f>
        <v>MIDLOTHIAN ISD 070908</v>
      </c>
      <c r="B724" t="s">
        <v>3809</v>
      </c>
      <c r="C724" s="1"/>
      <c r="D724" t="s">
        <v>3810</v>
      </c>
      <c r="E724" s="2" t="s">
        <v>288</v>
      </c>
      <c r="F724" s="137" t="s">
        <v>3811</v>
      </c>
      <c r="G724" s="137" t="s">
        <v>3812</v>
      </c>
      <c r="H724" s="137" t="s">
        <v>3813</v>
      </c>
      <c r="I724" s="113" t="s">
        <v>292</v>
      </c>
      <c r="J724" s="108" t="str">
        <f t="shared" si="11"/>
        <v>070908</v>
      </c>
    </row>
    <row r="725" spans="1:10" ht="15" customHeight="1" x14ac:dyDescent="0.25">
      <c r="A725" t="str">
        <f>Table1[[#This Row],[District name]]&amp;" "&amp;Table1[[#This Row],[District number]]</f>
        <v>MIDWAY ISD 039905</v>
      </c>
      <c r="B725" t="s">
        <v>3814</v>
      </c>
      <c r="C725" s="1"/>
      <c r="D725" t="s">
        <v>3815</v>
      </c>
      <c r="E725" s="2" t="s">
        <v>541</v>
      </c>
      <c r="F725" s="137" t="s">
        <v>1364</v>
      </c>
      <c r="G725" s="137" t="s">
        <v>3816</v>
      </c>
      <c r="H725" s="137" t="s">
        <v>1366</v>
      </c>
      <c r="I725" s="113" t="s">
        <v>292</v>
      </c>
      <c r="J725" s="108" t="str">
        <f t="shared" si="11"/>
        <v>039905</v>
      </c>
    </row>
    <row r="726" spans="1:10" ht="15" customHeight="1" x14ac:dyDescent="0.25">
      <c r="A726" t="str">
        <f>Table1[[#This Row],[District name]]&amp;" "&amp;Table1[[#This Row],[District number]]</f>
        <v>MIDWAY ISD 161903</v>
      </c>
      <c r="B726" t="s">
        <v>3817</v>
      </c>
      <c r="C726" s="1"/>
      <c r="D726" t="s">
        <v>3815</v>
      </c>
      <c r="E726" s="2" t="s">
        <v>301</v>
      </c>
      <c r="F726" s="137" t="s">
        <v>3818</v>
      </c>
      <c r="G726" s="137" t="s">
        <v>3819</v>
      </c>
      <c r="H726" s="137" t="s">
        <v>3820</v>
      </c>
      <c r="I726" s="113" t="s">
        <v>292</v>
      </c>
      <c r="J726" s="108" t="str">
        <f t="shared" si="11"/>
        <v>161903</v>
      </c>
    </row>
    <row r="727" spans="1:10" ht="15" customHeight="1" x14ac:dyDescent="0.25">
      <c r="A727" t="str">
        <f>Table1[[#This Row],[District name]]&amp;" "&amp;Table1[[#This Row],[District number]]</f>
        <v>MILANO ISD 166903</v>
      </c>
      <c r="B727" t="s">
        <v>3821</v>
      </c>
      <c r="C727" s="1"/>
      <c r="D727" t="s">
        <v>3822</v>
      </c>
      <c r="E727" s="2" t="s">
        <v>480</v>
      </c>
      <c r="F727" s="137" t="s">
        <v>3823</v>
      </c>
      <c r="G727" s="137" t="s">
        <v>3824</v>
      </c>
      <c r="H727" s="137" t="s">
        <v>3825</v>
      </c>
      <c r="I727" s="113" t="s">
        <v>292</v>
      </c>
      <c r="J727" s="108" t="str">
        <f t="shared" si="11"/>
        <v>166903</v>
      </c>
    </row>
    <row r="728" spans="1:10" ht="15" customHeight="1" x14ac:dyDescent="0.25">
      <c r="A728" t="str">
        <f>Table1[[#This Row],[District name]]&amp;" "&amp;Table1[[#This Row],[District number]]</f>
        <v>MILDRED ISD 175910</v>
      </c>
      <c r="B728" t="s">
        <v>3826</v>
      </c>
      <c r="C728" s="1"/>
      <c r="D728" t="s">
        <v>3827</v>
      </c>
      <c r="E728" s="2" t="s">
        <v>301</v>
      </c>
      <c r="F728" s="137" t="s">
        <v>3828</v>
      </c>
      <c r="G728" s="137" t="s">
        <v>3829</v>
      </c>
      <c r="H728" s="137" t="s">
        <v>3830</v>
      </c>
      <c r="I728" s="113" t="s">
        <v>292</v>
      </c>
      <c r="J728" s="108" t="str">
        <f t="shared" si="11"/>
        <v>175910</v>
      </c>
    </row>
    <row r="729" spans="1:10" ht="15" customHeight="1" x14ac:dyDescent="0.25">
      <c r="A729" t="str">
        <f>Table1[[#This Row],[District name]]&amp;" "&amp;Table1[[#This Row],[District number]]</f>
        <v>MILES ISD 200902</v>
      </c>
      <c r="B729" t="s">
        <v>3831</v>
      </c>
      <c r="C729" s="1"/>
      <c r="D729" t="s">
        <v>3832</v>
      </c>
      <c r="E729" s="2" t="s">
        <v>650</v>
      </c>
      <c r="F729" s="137" t="s">
        <v>1532</v>
      </c>
      <c r="G729" s="137" t="s">
        <v>3833</v>
      </c>
      <c r="H729" s="137" t="s">
        <v>3834</v>
      </c>
      <c r="I729" s="113" t="s">
        <v>292</v>
      </c>
      <c r="J729" s="108" t="str">
        <f t="shared" si="11"/>
        <v>200902</v>
      </c>
    </row>
    <row r="730" spans="1:10" ht="15" customHeight="1" x14ac:dyDescent="0.25">
      <c r="A730" t="str">
        <f>Table1[[#This Row],[District name]]&amp;" "&amp;Table1[[#This Row],[District number]]</f>
        <v>MILFORD ISD 070909</v>
      </c>
      <c r="B730" t="s">
        <v>3835</v>
      </c>
      <c r="C730" s="1"/>
      <c r="D730" t="s">
        <v>3836</v>
      </c>
      <c r="E730" s="2" t="s">
        <v>288</v>
      </c>
      <c r="F730" s="137" t="s">
        <v>3837</v>
      </c>
      <c r="G730" s="137" t="s">
        <v>3838</v>
      </c>
      <c r="H730" s="137" t="s">
        <v>3839</v>
      </c>
      <c r="I730" s="113" t="s">
        <v>292</v>
      </c>
      <c r="J730" s="108" t="str">
        <f t="shared" si="11"/>
        <v>070909</v>
      </c>
    </row>
    <row r="731" spans="1:10" ht="15" customHeight="1" x14ac:dyDescent="0.25">
      <c r="A731" t="str">
        <f>Table1[[#This Row],[District name]]&amp;" "&amp;Table1[[#This Row],[District number]]</f>
        <v>MILLER GROVE ISD 112907</v>
      </c>
      <c r="B731" t="s">
        <v>3840</v>
      </c>
      <c r="C731" s="1"/>
      <c r="D731" t="s">
        <v>3841</v>
      </c>
      <c r="E731" s="2" t="s">
        <v>587</v>
      </c>
      <c r="F731" s="137" t="s">
        <v>3842</v>
      </c>
      <c r="G731" s="137" t="s">
        <v>3843</v>
      </c>
      <c r="H731" s="137" t="s">
        <v>3844</v>
      </c>
      <c r="I731" s="113" t="s">
        <v>292</v>
      </c>
      <c r="J731" s="108" t="str">
        <f t="shared" si="11"/>
        <v>112907</v>
      </c>
    </row>
    <row r="732" spans="1:10" ht="15" customHeight="1" x14ac:dyDescent="0.25">
      <c r="A732" t="str">
        <f>Table1[[#This Row],[District name]]&amp;" "&amp;Table1[[#This Row],[District number]]</f>
        <v>MILLSAP ISD 184904</v>
      </c>
      <c r="B732" t="s">
        <v>3845</v>
      </c>
      <c r="C732" s="1"/>
      <c r="D732" t="s">
        <v>3846</v>
      </c>
      <c r="E732" s="2" t="s">
        <v>402</v>
      </c>
      <c r="F732" s="137" t="s">
        <v>3847</v>
      </c>
      <c r="G732" s="137" t="s">
        <v>3848</v>
      </c>
      <c r="H732" s="137" t="s">
        <v>3849</v>
      </c>
      <c r="I732" s="113" t="s">
        <v>292</v>
      </c>
      <c r="J732" s="108" t="str">
        <f t="shared" si="11"/>
        <v>184904</v>
      </c>
    </row>
    <row r="733" spans="1:10" ht="15" customHeight="1" x14ac:dyDescent="0.25">
      <c r="A733" t="str">
        <f>Table1[[#This Row],[District name]]&amp;" "&amp;Table1[[#This Row],[District number]]</f>
        <v>MINEOLA ISD 250903</v>
      </c>
      <c r="B733" t="s">
        <v>3850</v>
      </c>
      <c r="C733" s="1"/>
      <c r="D733" t="s">
        <v>3851</v>
      </c>
      <c r="E733" s="2" t="s">
        <v>383</v>
      </c>
      <c r="F733" s="137" t="s">
        <v>3852</v>
      </c>
      <c r="G733" s="137" t="s">
        <v>3853</v>
      </c>
      <c r="H733" s="137" t="s">
        <v>3854</v>
      </c>
      <c r="I733" s="113" t="s">
        <v>292</v>
      </c>
      <c r="J733" s="108" t="str">
        <f t="shared" si="11"/>
        <v>250903</v>
      </c>
    </row>
    <row r="734" spans="1:10" ht="15" customHeight="1" x14ac:dyDescent="0.25">
      <c r="A734" t="str">
        <f>Table1[[#This Row],[District name]]&amp;" "&amp;Table1[[#This Row],[District number]]</f>
        <v>MINERAL WELLS ISD 182903</v>
      </c>
      <c r="B734" t="s">
        <v>3855</v>
      </c>
      <c r="C734" s="1"/>
      <c r="D734" t="s">
        <v>3856</v>
      </c>
      <c r="E734" s="2" t="s">
        <v>402</v>
      </c>
      <c r="F734" s="137" t="s">
        <v>3857</v>
      </c>
      <c r="G734" s="137" t="s">
        <v>3858</v>
      </c>
      <c r="H734" s="137" t="s">
        <v>3859</v>
      </c>
      <c r="I734" s="113" t="s">
        <v>292</v>
      </c>
      <c r="J734" s="108" t="str">
        <f t="shared" si="11"/>
        <v>182903</v>
      </c>
    </row>
    <row r="735" spans="1:10" ht="15" customHeight="1" x14ac:dyDescent="0.25">
      <c r="A735" t="str">
        <f>Table1[[#This Row],[District name]]&amp;" "&amp;Table1[[#This Row],[District number]]</f>
        <v>MISSION CISD 108908</v>
      </c>
      <c r="B735" t="s">
        <v>3860</v>
      </c>
      <c r="C735" s="1"/>
      <c r="D735" t="s">
        <v>3861</v>
      </c>
      <c r="E735" s="2" t="s">
        <v>982</v>
      </c>
      <c r="F735" s="137" t="s">
        <v>3862</v>
      </c>
      <c r="G735" s="137" t="s">
        <v>3863</v>
      </c>
      <c r="H735" s="137" t="s">
        <v>3864</v>
      </c>
      <c r="I735" s="113" t="s">
        <v>292</v>
      </c>
      <c r="J735" s="108" t="str">
        <f t="shared" si="11"/>
        <v>108908</v>
      </c>
    </row>
    <row r="736" spans="1:10" ht="15" customHeight="1" x14ac:dyDescent="0.25">
      <c r="A736" t="str">
        <f>Table1[[#This Row],[District name]]&amp;" "&amp;Table1[[#This Row],[District number]]</f>
        <v>MONAHANS-WICKETT-PYOTE ISD 238902</v>
      </c>
      <c r="B736" t="s">
        <v>3865</v>
      </c>
      <c r="C736" s="1"/>
      <c r="D736" t="s">
        <v>3866</v>
      </c>
      <c r="E736" s="2" t="s">
        <v>430</v>
      </c>
      <c r="F736" s="137" t="s">
        <v>3867</v>
      </c>
      <c r="G736" s="137" t="s">
        <v>3868</v>
      </c>
      <c r="H736" s="137" t="s">
        <v>3869</v>
      </c>
      <c r="I736" s="113" t="s">
        <v>292</v>
      </c>
      <c r="J736" s="108" t="str">
        <f t="shared" si="11"/>
        <v>238902</v>
      </c>
    </row>
    <row r="737" spans="1:10" ht="15" customHeight="1" x14ac:dyDescent="0.25">
      <c r="A737" t="str">
        <f>Table1[[#This Row],[District name]]&amp;" "&amp;Table1[[#This Row],[District number]]</f>
        <v>MONTAGUE ISD 169908</v>
      </c>
      <c r="B737" t="s">
        <v>3870</v>
      </c>
      <c r="C737" s="1"/>
      <c r="D737" t="s">
        <v>3871</v>
      </c>
      <c r="E737" s="2" t="s">
        <v>541</v>
      </c>
      <c r="F737" s="137" t="s">
        <v>3872</v>
      </c>
      <c r="G737" s="137" t="s">
        <v>3873</v>
      </c>
      <c r="H737" s="137" t="s">
        <v>3874</v>
      </c>
      <c r="I737" s="113" t="s">
        <v>292</v>
      </c>
      <c r="J737" s="108" t="str">
        <f t="shared" si="11"/>
        <v>169908</v>
      </c>
    </row>
    <row r="738" spans="1:10" ht="15" customHeight="1" x14ac:dyDescent="0.25">
      <c r="A738" t="str">
        <f>Table1[[#This Row],[District name]]&amp;" "&amp;Table1[[#This Row],[District number]]</f>
        <v>MONTE ALTO ISD 108915</v>
      </c>
      <c r="B738" t="s">
        <v>3875</v>
      </c>
      <c r="C738" s="1"/>
      <c r="D738" t="s">
        <v>3876</v>
      </c>
      <c r="E738" s="2" t="s">
        <v>982</v>
      </c>
      <c r="F738" s="137" t="s">
        <v>3877</v>
      </c>
      <c r="G738" s="137" t="s">
        <v>3878</v>
      </c>
      <c r="H738" s="137" t="s">
        <v>3879</v>
      </c>
      <c r="I738" s="113" t="s">
        <v>292</v>
      </c>
      <c r="J738" s="108" t="str">
        <f t="shared" si="11"/>
        <v>108915</v>
      </c>
    </row>
    <row r="739" spans="1:10" ht="15" customHeight="1" x14ac:dyDescent="0.25">
      <c r="A739" t="str">
        <f>Table1[[#This Row],[District name]]&amp;" "&amp;Table1[[#This Row],[District number]]</f>
        <v>MONTESSORI FOR ALL 227826</v>
      </c>
      <c r="B739" t="s">
        <v>3880</v>
      </c>
      <c r="C739" s="1"/>
      <c r="D739" t="s">
        <v>3881</v>
      </c>
      <c r="E739" s="2" t="s">
        <v>598</v>
      </c>
      <c r="F739" s="137" t="s">
        <v>3882</v>
      </c>
      <c r="G739" s="137" t="s">
        <v>3883</v>
      </c>
      <c r="H739" s="137" t="s">
        <v>3884</v>
      </c>
      <c r="I739" s="113" t="s">
        <v>292</v>
      </c>
      <c r="J739" s="108" t="str">
        <f t="shared" si="11"/>
        <v>227826</v>
      </c>
    </row>
    <row r="740" spans="1:10" ht="15" customHeight="1" x14ac:dyDescent="0.25">
      <c r="A740" t="str">
        <f>Table1[[#This Row],[District name]]&amp;" "&amp;Table1[[#This Row],[District number]]</f>
        <v>MONTGOMERY ISD 170903</v>
      </c>
      <c r="B740" t="s">
        <v>3885</v>
      </c>
      <c r="C740" s="1"/>
      <c r="D740" t="s">
        <v>3886</v>
      </c>
      <c r="E740" s="2" t="s">
        <v>480</v>
      </c>
      <c r="F740" s="137" t="s">
        <v>3887</v>
      </c>
      <c r="G740" s="137" t="s">
        <v>3888</v>
      </c>
      <c r="H740" s="137" t="s">
        <v>3889</v>
      </c>
      <c r="I740" s="113" t="s">
        <v>292</v>
      </c>
      <c r="J740" s="108" t="str">
        <f t="shared" si="11"/>
        <v>170903</v>
      </c>
    </row>
    <row r="741" spans="1:10" ht="15" customHeight="1" x14ac:dyDescent="0.25">
      <c r="A741" t="str">
        <f>Table1[[#This Row],[District name]]&amp;" "&amp;Table1[[#This Row],[District number]]</f>
        <v>MOODY ISD 161910</v>
      </c>
      <c r="B741" t="s">
        <v>3890</v>
      </c>
      <c r="C741" s="1"/>
      <c r="D741" t="s">
        <v>3891</v>
      </c>
      <c r="E741" s="2" t="s">
        <v>301</v>
      </c>
      <c r="F741" s="137" t="s">
        <v>3892</v>
      </c>
      <c r="G741" s="137" t="s">
        <v>3893</v>
      </c>
      <c r="H741" s="137" t="s">
        <v>3894</v>
      </c>
      <c r="I741" s="113" t="s">
        <v>292</v>
      </c>
      <c r="J741" s="108" t="str">
        <f t="shared" si="11"/>
        <v>161910</v>
      </c>
    </row>
    <row r="742" spans="1:10" ht="15" customHeight="1" x14ac:dyDescent="0.25">
      <c r="A742" t="str">
        <f>Table1[[#This Row],[District name]]&amp;" "&amp;Table1[[#This Row],[District number]]</f>
        <v>MORAN ISD 209902</v>
      </c>
      <c r="B742" t="s">
        <v>3895</v>
      </c>
      <c r="C742" s="1"/>
      <c r="D742" t="s">
        <v>3896</v>
      </c>
      <c r="E742" s="2" t="s">
        <v>314</v>
      </c>
      <c r="F742" s="137" t="s">
        <v>3897</v>
      </c>
      <c r="G742" s="137" t="s">
        <v>3898</v>
      </c>
      <c r="H742" s="137" t="s">
        <v>3899</v>
      </c>
      <c r="I742" s="113" t="s">
        <v>292</v>
      </c>
      <c r="J742" s="108" t="str">
        <f t="shared" si="11"/>
        <v>209902</v>
      </c>
    </row>
    <row r="743" spans="1:10" ht="15" customHeight="1" x14ac:dyDescent="0.25">
      <c r="A743" t="str">
        <f>Table1[[#This Row],[District name]]&amp;" "&amp;Table1[[#This Row],[District number]]</f>
        <v>MORGAN ISD 018903</v>
      </c>
      <c r="B743" t="s">
        <v>3900</v>
      </c>
      <c r="C743" s="1"/>
      <c r="D743" t="s">
        <v>3901</v>
      </c>
      <c r="E743" s="2" t="s">
        <v>301</v>
      </c>
      <c r="F743" s="137" t="s">
        <v>3902</v>
      </c>
      <c r="G743" s="137" t="s">
        <v>3903</v>
      </c>
      <c r="H743" s="137" t="s">
        <v>3904</v>
      </c>
      <c r="I743" s="113" t="s">
        <v>292</v>
      </c>
      <c r="J743" s="108" t="str">
        <f t="shared" si="11"/>
        <v>018903</v>
      </c>
    </row>
    <row r="744" spans="1:10" ht="15" customHeight="1" x14ac:dyDescent="0.25">
      <c r="A744" t="str">
        <f>Table1[[#This Row],[District name]]&amp;" "&amp;Table1[[#This Row],[District number]]</f>
        <v>MORGAN MILL ISD 072910</v>
      </c>
      <c r="B744" t="s">
        <v>3905</v>
      </c>
      <c r="C744" s="1"/>
      <c r="D744" t="s">
        <v>3906</v>
      </c>
      <c r="E744" s="2" t="s">
        <v>402</v>
      </c>
      <c r="F744" s="137" t="s">
        <v>450</v>
      </c>
      <c r="G744" s="137" t="s">
        <v>3907</v>
      </c>
      <c r="H744" s="137" t="s">
        <v>3908</v>
      </c>
      <c r="I744" s="113" t="s">
        <v>292</v>
      </c>
      <c r="J744" s="108" t="str">
        <f t="shared" si="11"/>
        <v>072910</v>
      </c>
    </row>
    <row r="745" spans="1:10" ht="15" customHeight="1" x14ac:dyDescent="0.25">
      <c r="A745" t="str">
        <f>Table1[[#This Row],[District name]]&amp;" "&amp;Table1[[#This Row],[District number]]</f>
        <v>MORTON ISD 040901</v>
      </c>
      <c r="B745" t="s">
        <v>3909</v>
      </c>
      <c r="C745" s="1"/>
      <c r="D745" t="s">
        <v>3910</v>
      </c>
      <c r="E745" s="2" t="s">
        <v>308</v>
      </c>
      <c r="F745" s="137" t="s">
        <v>681</v>
      </c>
      <c r="G745" s="137" t="s">
        <v>3911</v>
      </c>
      <c r="H745" s="137" t="s">
        <v>3912</v>
      </c>
      <c r="I745" s="113" t="s">
        <v>292</v>
      </c>
      <c r="J745" s="108" t="str">
        <f t="shared" si="11"/>
        <v>040901</v>
      </c>
    </row>
    <row r="746" spans="1:10" ht="15" customHeight="1" x14ac:dyDescent="0.25">
      <c r="A746" t="str">
        <f>Table1[[#This Row],[District name]]&amp;" "&amp;Table1[[#This Row],[District number]]</f>
        <v>MOTLEY COUNTY ISD 173901</v>
      </c>
      <c r="B746" t="s">
        <v>3913</v>
      </c>
      <c r="C746" s="1"/>
      <c r="D746" t="s">
        <v>3914</v>
      </c>
      <c r="E746" s="2" t="s">
        <v>308</v>
      </c>
      <c r="F746" s="137" t="s">
        <v>3915</v>
      </c>
      <c r="G746" s="137" t="s">
        <v>3916</v>
      </c>
      <c r="H746" s="137" t="s">
        <v>3917</v>
      </c>
      <c r="I746" s="113" t="s">
        <v>292</v>
      </c>
      <c r="J746" s="108" t="str">
        <f t="shared" si="11"/>
        <v>173901</v>
      </c>
    </row>
    <row r="747" spans="1:10" ht="15" customHeight="1" x14ac:dyDescent="0.25">
      <c r="A747" t="str">
        <f>Table1[[#This Row],[District name]]&amp;" "&amp;Table1[[#This Row],[District number]]</f>
        <v>MOULTON ISD 143902</v>
      </c>
      <c r="B747" t="s">
        <v>3918</v>
      </c>
      <c r="C747" s="1"/>
      <c r="D747" t="s">
        <v>3919</v>
      </c>
      <c r="E747" s="2" t="s">
        <v>614</v>
      </c>
      <c r="F747" s="137" t="s">
        <v>3920</v>
      </c>
      <c r="G747" s="137" t="s">
        <v>3921</v>
      </c>
      <c r="H747" s="137" t="s">
        <v>3922</v>
      </c>
      <c r="I747" s="113" t="s">
        <v>292</v>
      </c>
      <c r="J747" s="108" t="str">
        <f t="shared" si="11"/>
        <v>143902</v>
      </c>
    </row>
    <row r="748" spans="1:10" ht="15" customHeight="1" x14ac:dyDescent="0.25">
      <c r="A748" t="str">
        <f>Table1[[#This Row],[District name]]&amp;" "&amp;Table1[[#This Row],[District number]]</f>
        <v>MOUNT CALM ISD 109910</v>
      </c>
      <c r="B748" t="s">
        <v>3923</v>
      </c>
      <c r="C748" s="1"/>
      <c r="D748" t="s">
        <v>3924</v>
      </c>
      <c r="E748" s="2" t="s">
        <v>301</v>
      </c>
      <c r="F748" s="137" t="s">
        <v>3925</v>
      </c>
      <c r="G748" s="137" t="s">
        <v>3926</v>
      </c>
      <c r="H748" s="137" t="s">
        <v>3927</v>
      </c>
      <c r="I748" s="113" t="s">
        <v>292</v>
      </c>
      <c r="J748" s="108" t="str">
        <f t="shared" si="11"/>
        <v>109910</v>
      </c>
    </row>
    <row r="749" spans="1:10" ht="15" customHeight="1" x14ac:dyDescent="0.25">
      <c r="A749" t="str">
        <f>Table1[[#This Row],[District name]]&amp;" "&amp;Table1[[#This Row],[District number]]</f>
        <v>MOUNT ENTERPRISE ISD 201907</v>
      </c>
      <c r="B749" t="s">
        <v>3928</v>
      </c>
      <c r="C749" s="1"/>
      <c r="D749" t="s">
        <v>3929</v>
      </c>
      <c r="E749" s="2" t="s">
        <v>383</v>
      </c>
      <c r="F749" s="137" t="s">
        <v>3930</v>
      </c>
      <c r="G749" s="137" t="s">
        <v>3931</v>
      </c>
      <c r="H749" s="137" t="s">
        <v>3932</v>
      </c>
      <c r="I749" s="113" t="s">
        <v>292</v>
      </c>
      <c r="J749" s="108" t="str">
        <f t="shared" si="11"/>
        <v>201907</v>
      </c>
    </row>
    <row r="750" spans="1:10" ht="15" customHeight="1" x14ac:dyDescent="0.25">
      <c r="A750" t="str">
        <f>Table1[[#This Row],[District name]]&amp;" "&amp;Table1[[#This Row],[District number]]</f>
        <v>MOUNT PLEASANT ISD 225902</v>
      </c>
      <c r="B750" t="s">
        <v>3933</v>
      </c>
      <c r="C750" s="1"/>
      <c r="D750" t="s">
        <v>3934</v>
      </c>
      <c r="E750" s="2" t="s">
        <v>587</v>
      </c>
      <c r="F750" s="137" t="s">
        <v>3935</v>
      </c>
      <c r="G750" s="137" t="s">
        <v>3936</v>
      </c>
      <c r="H750" s="137" t="s">
        <v>3937</v>
      </c>
      <c r="I750" s="113" t="s">
        <v>292</v>
      </c>
      <c r="J750" s="108" t="str">
        <f t="shared" si="11"/>
        <v>225902</v>
      </c>
    </row>
    <row r="751" spans="1:10" ht="15" customHeight="1" x14ac:dyDescent="0.25">
      <c r="A751" t="str">
        <f>Table1[[#This Row],[District name]]&amp;" "&amp;Table1[[#This Row],[District number]]</f>
        <v>MOUNT VERNON ISD 080901</v>
      </c>
      <c r="B751" t="s">
        <v>3938</v>
      </c>
      <c r="C751" s="1"/>
      <c r="D751" t="s">
        <v>3939</v>
      </c>
      <c r="E751" s="2" t="s">
        <v>587</v>
      </c>
      <c r="F751" s="137" t="s">
        <v>409</v>
      </c>
      <c r="G751" s="137" t="s">
        <v>410</v>
      </c>
      <c r="H751" s="137" t="s">
        <v>411</v>
      </c>
      <c r="I751" s="113" t="s">
        <v>292</v>
      </c>
      <c r="J751" s="108" t="str">
        <f t="shared" si="11"/>
        <v>080901</v>
      </c>
    </row>
    <row r="752" spans="1:10" ht="15" customHeight="1" x14ac:dyDescent="0.25">
      <c r="A752" t="str">
        <f>Table1[[#This Row],[District name]]&amp;" "&amp;Table1[[#This Row],[District number]]</f>
        <v>MUENSTER ISD 049902</v>
      </c>
      <c r="B752" t="s">
        <v>3940</v>
      </c>
      <c r="C752" s="1"/>
      <c r="D752" t="s">
        <v>3941</v>
      </c>
      <c r="E752" s="2" t="s">
        <v>402</v>
      </c>
      <c r="F752" s="137" t="s">
        <v>3942</v>
      </c>
      <c r="G752" s="137" t="s">
        <v>3943</v>
      </c>
      <c r="H752" s="137" t="s">
        <v>3944</v>
      </c>
      <c r="I752" s="113" t="s">
        <v>292</v>
      </c>
      <c r="J752" s="108" t="str">
        <f t="shared" si="11"/>
        <v>049902</v>
      </c>
    </row>
    <row r="753" spans="1:10" ht="15" customHeight="1" x14ac:dyDescent="0.25">
      <c r="A753" t="str">
        <f>Table1[[#This Row],[District name]]&amp;" "&amp;Table1[[#This Row],[District number]]</f>
        <v>MULESHOE ISD 009901</v>
      </c>
      <c r="B753" t="s">
        <v>3945</v>
      </c>
      <c r="C753" s="1"/>
      <c r="D753" t="s">
        <v>3946</v>
      </c>
      <c r="E753" s="2" t="s">
        <v>308</v>
      </c>
      <c r="F753" s="137" t="s">
        <v>3373</v>
      </c>
      <c r="G753" s="137" t="s">
        <v>3947</v>
      </c>
      <c r="H753" s="137" t="s">
        <v>3948</v>
      </c>
      <c r="I753" s="113" t="s">
        <v>292</v>
      </c>
      <c r="J753" s="108" t="str">
        <f t="shared" si="11"/>
        <v>009901</v>
      </c>
    </row>
    <row r="754" spans="1:10" ht="15" customHeight="1" x14ac:dyDescent="0.25">
      <c r="A754" t="str">
        <f>Table1[[#This Row],[District name]]&amp;" "&amp;Table1[[#This Row],[District number]]</f>
        <v>MULLIN ISD 167902</v>
      </c>
      <c r="B754" t="s">
        <v>3949</v>
      </c>
      <c r="C754" s="1"/>
      <c r="D754" t="s">
        <v>3950</v>
      </c>
      <c r="E754" s="2" t="s">
        <v>301</v>
      </c>
      <c r="F754" s="137" t="s">
        <v>3951</v>
      </c>
      <c r="G754" s="137" t="s">
        <v>3952</v>
      </c>
      <c r="H754" s="137" t="s">
        <v>3953</v>
      </c>
      <c r="I754" s="113" t="s">
        <v>292</v>
      </c>
      <c r="J754" s="108" t="str">
        <f t="shared" si="11"/>
        <v>167902</v>
      </c>
    </row>
    <row r="755" spans="1:10" ht="15" customHeight="1" x14ac:dyDescent="0.25">
      <c r="A755" t="str">
        <f>Table1[[#This Row],[District name]]&amp;" "&amp;Table1[[#This Row],[District number]]</f>
        <v>MUMFORD ISD 198906</v>
      </c>
      <c r="B755" t="s">
        <v>3954</v>
      </c>
      <c r="C755" s="1"/>
      <c r="D755" t="s">
        <v>3955</v>
      </c>
      <c r="E755" s="2" t="s">
        <v>480</v>
      </c>
      <c r="F755" s="137" t="s">
        <v>3956</v>
      </c>
      <c r="G755" s="137" t="s">
        <v>3957</v>
      </c>
      <c r="H755" s="137" t="s">
        <v>3958</v>
      </c>
      <c r="I755" s="113" t="s">
        <v>292</v>
      </c>
      <c r="J755" s="108" t="str">
        <f t="shared" si="11"/>
        <v>198906</v>
      </c>
    </row>
    <row r="756" spans="1:10" ht="15" customHeight="1" x14ac:dyDescent="0.25">
      <c r="A756" t="str">
        <f>Table1[[#This Row],[District name]]&amp;" "&amp;Table1[[#This Row],[District number]]</f>
        <v>MUNDAY CISD 138903</v>
      </c>
      <c r="B756" t="s">
        <v>3959</v>
      </c>
      <c r="C756" s="1"/>
      <c r="D756" t="s">
        <v>3960</v>
      </c>
      <c r="E756" s="2" t="s">
        <v>541</v>
      </c>
      <c r="F756" s="137" t="s">
        <v>916</v>
      </c>
      <c r="G756" s="137" t="s">
        <v>917</v>
      </c>
      <c r="H756" s="137" t="s">
        <v>918</v>
      </c>
      <c r="I756" s="113" t="s">
        <v>292</v>
      </c>
      <c r="J756" s="108" t="str">
        <f t="shared" si="11"/>
        <v>138903</v>
      </c>
    </row>
    <row r="757" spans="1:10" ht="15" customHeight="1" x14ac:dyDescent="0.25">
      <c r="A757" t="str">
        <f>Table1[[#This Row],[District name]]&amp;" "&amp;Table1[[#This Row],[District number]]</f>
        <v>MURCHISON ISD 107908</v>
      </c>
      <c r="B757" t="s">
        <v>3961</v>
      </c>
      <c r="C757" s="1"/>
      <c r="D757" t="s">
        <v>3962</v>
      </c>
      <c r="E757" s="2" t="s">
        <v>383</v>
      </c>
      <c r="F757" s="137" t="s">
        <v>3963</v>
      </c>
      <c r="G757" s="137" t="s">
        <v>3964</v>
      </c>
      <c r="H757" s="137" t="s">
        <v>3965</v>
      </c>
      <c r="I757" s="113" t="s">
        <v>292</v>
      </c>
      <c r="J757" s="108" t="str">
        <f t="shared" si="11"/>
        <v>107908</v>
      </c>
    </row>
    <row r="758" spans="1:10" ht="15" customHeight="1" x14ac:dyDescent="0.25">
      <c r="A758" t="str">
        <f>Table1[[#This Row],[District name]]&amp;" "&amp;Table1[[#This Row],[District number]]</f>
        <v>NACOGDOCHES ISD 174904</v>
      </c>
      <c r="B758" t="s">
        <v>3966</v>
      </c>
      <c r="C758" s="1"/>
      <c r="D758" t="s">
        <v>3967</v>
      </c>
      <c r="E758" s="2" t="s">
        <v>383</v>
      </c>
      <c r="F758" s="137" t="s">
        <v>3968</v>
      </c>
      <c r="G758" s="137" t="s">
        <v>3969</v>
      </c>
      <c r="H758" s="137" t="s">
        <v>3970</v>
      </c>
      <c r="I758" s="113" t="s">
        <v>292</v>
      </c>
      <c r="J758" s="108" t="str">
        <f t="shared" si="11"/>
        <v>174904</v>
      </c>
    </row>
    <row r="759" spans="1:10" ht="15" customHeight="1" x14ac:dyDescent="0.25">
      <c r="A759" t="str">
        <f>Table1[[#This Row],[District name]]&amp;" "&amp;Table1[[#This Row],[District number]]</f>
        <v>NATALIA ISD 163903</v>
      </c>
      <c r="B759" t="s">
        <v>3971</v>
      </c>
      <c r="C759" s="1"/>
      <c r="D759" t="s">
        <v>3972</v>
      </c>
      <c r="E759" s="2" t="s">
        <v>376</v>
      </c>
      <c r="F759" s="137" t="s">
        <v>3973</v>
      </c>
      <c r="G759" s="137" t="s">
        <v>3974</v>
      </c>
      <c r="H759" s="137" t="s">
        <v>3975</v>
      </c>
      <c r="I759" s="113" t="s">
        <v>292</v>
      </c>
      <c r="J759" s="108" t="str">
        <f t="shared" si="11"/>
        <v>163903</v>
      </c>
    </row>
    <row r="760" spans="1:10" ht="15" customHeight="1" x14ac:dyDescent="0.25">
      <c r="A760" t="str">
        <f>Table1[[#This Row],[District name]]&amp;" "&amp;Table1[[#This Row],[District number]]</f>
        <v>NAVARRO ISD 094903</v>
      </c>
      <c r="B760" t="s">
        <v>3976</v>
      </c>
      <c r="C760" s="1"/>
      <c r="D760" t="s">
        <v>3977</v>
      </c>
      <c r="E760" s="2" t="s">
        <v>598</v>
      </c>
      <c r="F760" s="137" t="s">
        <v>3978</v>
      </c>
      <c r="G760" s="137" t="s">
        <v>3979</v>
      </c>
      <c r="H760" s="137" t="s">
        <v>3980</v>
      </c>
      <c r="I760" s="113" t="s">
        <v>292</v>
      </c>
      <c r="J760" s="108" t="str">
        <f t="shared" si="11"/>
        <v>094903</v>
      </c>
    </row>
    <row r="761" spans="1:10" ht="15" customHeight="1" x14ac:dyDescent="0.25">
      <c r="A761" t="str">
        <f>Table1[[#This Row],[District name]]&amp;" "&amp;Table1[[#This Row],[District number]]</f>
        <v>NAVASOTA ISD 093904</v>
      </c>
      <c r="B761" t="s">
        <v>3981</v>
      </c>
      <c r="C761" s="1"/>
      <c r="D761" t="s">
        <v>3982</v>
      </c>
      <c r="E761" s="2" t="s">
        <v>480</v>
      </c>
      <c r="F761" s="137" t="s">
        <v>3983</v>
      </c>
      <c r="G761" s="137" t="s">
        <v>3984</v>
      </c>
      <c r="H761" s="137" t="s">
        <v>3985</v>
      </c>
      <c r="I761" s="113" t="s">
        <v>292</v>
      </c>
      <c r="J761" s="108" t="str">
        <f t="shared" si="11"/>
        <v>093904</v>
      </c>
    </row>
    <row r="762" spans="1:10" ht="15" customHeight="1" x14ac:dyDescent="0.25">
      <c r="A762" t="str">
        <f>Table1[[#This Row],[District name]]&amp;" "&amp;Table1[[#This Row],[District number]]</f>
        <v>NAZARETH ISD 035903</v>
      </c>
      <c r="B762" t="s">
        <v>3986</v>
      </c>
      <c r="C762" s="1"/>
      <c r="D762" t="s">
        <v>3987</v>
      </c>
      <c r="E762" s="2" t="s">
        <v>356</v>
      </c>
      <c r="F762" s="137" t="s">
        <v>3988</v>
      </c>
      <c r="G762" s="137" t="s">
        <v>3989</v>
      </c>
      <c r="H762" s="137" t="s">
        <v>3990</v>
      </c>
      <c r="I762" s="113" t="s">
        <v>292</v>
      </c>
      <c r="J762" s="108" t="str">
        <f t="shared" si="11"/>
        <v>035903</v>
      </c>
    </row>
    <row r="763" spans="1:10" ht="15" customHeight="1" x14ac:dyDescent="0.25">
      <c r="A763" t="str">
        <f>Table1[[#This Row],[District name]]&amp;" "&amp;Table1[[#This Row],[District number]]</f>
        <v>NECHES ISD 001906</v>
      </c>
      <c r="B763" t="s">
        <v>3991</v>
      </c>
      <c r="C763" s="1"/>
      <c r="D763" t="s">
        <v>3992</v>
      </c>
      <c r="E763" s="2" t="s">
        <v>383</v>
      </c>
      <c r="F763" s="137" t="s">
        <v>3993</v>
      </c>
      <c r="G763" s="137" t="s">
        <v>3994</v>
      </c>
      <c r="H763" s="137" t="s">
        <v>3995</v>
      </c>
      <c r="I763" s="113" t="s">
        <v>292</v>
      </c>
      <c r="J763" s="108" t="str">
        <f t="shared" si="11"/>
        <v>001906</v>
      </c>
    </row>
    <row r="764" spans="1:10" ht="15" customHeight="1" x14ac:dyDescent="0.25">
      <c r="A764" t="str">
        <f>Table1[[#This Row],[District name]]&amp;" "&amp;Table1[[#This Row],[District number]]</f>
        <v>NEDERLAND ISD 123905</v>
      </c>
      <c r="B764" t="s">
        <v>3996</v>
      </c>
      <c r="C764" s="1"/>
      <c r="D764" t="s">
        <v>3997</v>
      </c>
      <c r="E764" s="2" t="s">
        <v>706</v>
      </c>
      <c r="F764" s="137" t="s">
        <v>3998</v>
      </c>
      <c r="G764" s="137" t="s">
        <v>3999</v>
      </c>
      <c r="H764" s="137" t="s">
        <v>4000</v>
      </c>
      <c r="I764" s="113" t="s">
        <v>292</v>
      </c>
      <c r="J764" s="108" t="str">
        <f t="shared" si="11"/>
        <v>123905</v>
      </c>
    </row>
    <row r="765" spans="1:10" ht="15" customHeight="1" x14ac:dyDescent="0.25">
      <c r="A765" t="str">
        <f>Table1[[#This Row],[District name]]&amp;" "&amp;Table1[[#This Row],[District number]]</f>
        <v>NEEDVILLE ISD 079906</v>
      </c>
      <c r="B765" t="s">
        <v>4001</v>
      </c>
      <c r="C765" s="1"/>
      <c r="D765" t="s">
        <v>4002</v>
      </c>
      <c r="E765" s="2" t="s">
        <v>295</v>
      </c>
      <c r="F765" s="137" t="s">
        <v>4003</v>
      </c>
      <c r="G765" s="137" t="s">
        <v>4004</v>
      </c>
      <c r="H765" s="137" t="s">
        <v>4005</v>
      </c>
      <c r="I765" s="113" t="s">
        <v>292</v>
      </c>
      <c r="J765" s="108" t="str">
        <f t="shared" si="11"/>
        <v>079906</v>
      </c>
    </row>
    <row r="766" spans="1:10" ht="15" customHeight="1" x14ac:dyDescent="0.25">
      <c r="A766" t="str">
        <f>Table1[[#This Row],[District name]]&amp;" "&amp;Table1[[#This Row],[District number]]</f>
        <v>NEW BOSTON ISD 019905</v>
      </c>
      <c r="B766" t="s">
        <v>4006</v>
      </c>
      <c r="C766" s="1"/>
      <c r="D766" t="s">
        <v>4007</v>
      </c>
      <c r="E766" s="2" t="s">
        <v>587</v>
      </c>
      <c r="F766" s="137" t="s">
        <v>3275</v>
      </c>
      <c r="G766" s="137" t="s">
        <v>4008</v>
      </c>
      <c r="H766" s="137" t="s">
        <v>4009</v>
      </c>
      <c r="I766" s="113" t="s">
        <v>292</v>
      </c>
      <c r="J766" s="108" t="str">
        <f t="shared" si="11"/>
        <v>019905</v>
      </c>
    </row>
    <row r="767" spans="1:10" ht="15" customHeight="1" x14ac:dyDescent="0.25">
      <c r="A767" t="str">
        <f>Table1[[#This Row],[District name]]&amp;" "&amp;Table1[[#This Row],[District number]]</f>
        <v>NEW BRAUNFELS ISD 046901</v>
      </c>
      <c r="B767" t="s">
        <v>4010</v>
      </c>
      <c r="C767" s="1"/>
      <c r="D767" t="s">
        <v>4011</v>
      </c>
      <c r="E767" s="2" t="s">
        <v>598</v>
      </c>
      <c r="F767" s="137" t="s">
        <v>4012</v>
      </c>
      <c r="G767" s="137" t="s">
        <v>4013</v>
      </c>
      <c r="H767" s="137" t="s">
        <v>4014</v>
      </c>
      <c r="I767" s="113" t="s">
        <v>292</v>
      </c>
      <c r="J767" s="108" t="str">
        <f t="shared" si="11"/>
        <v>046901</v>
      </c>
    </row>
    <row r="768" spans="1:10" ht="15" customHeight="1" x14ac:dyDescent="0.25">
      <c r="A768" t="str">
        <f>Table1[[#This Row],[District name]]&amp;" "&amp;Table1[[#This Row],[District number]]</f>
        <v>NEW CANEY ISD 170908</v>
      </c>
      <c r="B768" t="s">
        <v>4015</v>
      </c>
      <c r="C768" s="1"/>
      <c r="D768" t="s">
        <v>4016</v>
      </c>
      <c r="E768" s="2" t="s">
        <v>480</v>
      </c>
      <c r="F768" s="137" t="s">
        <v>4017</v>
      </c>
      <c r="G768" s="137" t="s">
        <v>4018</v>
      </c>
      <c r="H768" s="137" t="s">
        <v>4019</v>
      </c>
      <c r="I768" s="113" t="s">
        <v>292</v>
      </c>
      <c r="J768" s="108" t="str">
        <f t="shared" si="11"/>
        <v>170908</v>
      </c>
    </row>
    <row r="769" spans="1:10" ht="15" customHeight="1" x14ac:dyDescent="0.25">
      <c r="A769" t="str">
        <f>Table1[[#This Row],[District name]]&amp;" "&amp;Table1[[#This Row],[District number]]</f>
        <v>NEW DEAL ISD 152902</v>
      </c>
      <c r="B769" t="s">
        <v>4020</v>
      </c>
      <c r="C769" s="1"/>
      <c r="D769" t="s">
        <v>4021</v>
      </c>
      <c r="E769" s="2" t="s">
        <v>308</v>
      </c>
      <c r="F769" s="137" t="s">
        <v>1239</v>
      </c>
      <c r="G769" s="137" t="s">
        <v>4022</v>
      </c>
      <c r="H769" s="137" t="s">
        <v>4023</v>
      </c>
      <c r="I769" s="113" t="s">
        <v>292</v>
      </c>
      <c r="J769" s="108" t="str">
        <f t="shared" si="11"/>
        <v>152902</v>
      </c>
    </row>
    <row r="770" spans="1:10" ht="15" customHeight="1" x14ac:dyDescent="0.25">
      <c r="A770" t="str">
        <f>Table1[[#This Row],[District name]]&amp;" "&amp;Table1[[#This Row],[District number]]</f>
        <v>NEW DIANA ISD 230906</v>
      </c>
      <c r="B770" t="s">
        <v>4024</v>
      </c>
      <c r="C770" s="1"/>
      <c r="D770" t="s">
        <v>4025</v>
      </c>
      <c r="E770" s="2" t="s">
        <v>383</v>
      </c>
      <c r="F770" s="137" t="s">
        <v>4026</v>
      </c>
      <c r="G770" s="137" t="s">
        <v>4027</v>
      </c>
      <c r="H770" s="137" t="s">
        <v>4028</v>
      </c>
      <c r="I770" s="113" t="s">
        <v>292</v>
      </c>
      <c r="J770" s="108" t="str">
        <f t="shared" si="11"/>
        <v>230906</v>
      </c>
    </row>
    <row r="771" spans="1:10" ht="15" customHeight="1" x14ac:dyDescent="0.25">
      <c r="A771" t="str">
        <f>Table1[[#This Row],[District name]]&amp;" "&amp;Table1[[#This Row],[District number]]</f>
        <v>NEW FRONTIERS PUBLIC SCHOOLS INC 015805</v>
      </c>
      <c r="B771" t="s">
        <v>4029</v>
      </c>
      <c r="C771" s="1"/>
      <c r="D771" t="s">
        <v>4030</v>
      </c>
      <c r="E771" s="2" t="s">
        <v>376</v>
      </c>
      <c r="F771" s="137" t="s">
        <v>4031</v>
      </c>
      <c r="G771" s="137" t="s">
        <v>4032</v>
      </c>
      <c r="H771" s="137" t="s">
        <v>4033</v>
      </c>
      <c r="I771" s="113" t="s">
        <v>292</v>
      </c>
      <c r="J771" s="108" t="str">
        <f t="shared" si="11"/>
        <v>015805</v>
      </c>
    </row>
    <row r="772" spans="1:10" ht="15" customHeight="1" x14ac:dyDescent="0.25">
      <c r="A772" t="str">
        <f>Table1[[#This Row],[District name]]&amp;" "&amp;Table1[[#This Row],[District number]]</f>
        <v>NEW HOME ISD 153905</v>
      </c>
      <c r="B772" t="s">
        <v>4034</v>
      </c>
      <c r="C772" s="1"/>
      <c r="D772" t="s">
        <v>4035</v>
      </c>
      <c r="E772" s="2" t="s">
        <v>308</v>
      </c>
      <c r="F772" s="137" t="s">
        <v>4036</v>
      </c>
      <c r="G772" s="137" t="s">
        <v>4037</v>
      </c>
      <c r="H772" s="137" t="s">
        <v>4038</v>
      </c>
      <c r="I772" s="113" t="s">
        <v>292</v>
      </c>
      <c r="J772" s="108" t="str">
        <f t="shared" si="11"/>
        <v>153905</v>
      </c>
    </row>
    <row r="773" spans="1:10" ht="15" customHeight="1" x14ac:dyDescent="0.25">
      <c r="A773" t="str">
        <f>Table1[[#This Row],[District name]]&amp;" "&amp;Table1[[#This Row],[District number]]</f>
        <v>NEW SUMMERFIELD ISD 037908</v>
      </c>
      <c r="B773" t="s">
        <v>4039</v>
      </c>
      <c r="C773" s="1"/>
      <c r="D773" t="s">
        <v>4040</v>
      </c>
      <c r="E773" s="2" t="s">
        <v>383</v>
      </c>
      <c r="F773" s="137" t="s">
        <v>4041</v>
      </c>
      <c r="G773" s="137" t="s">
        <v>4042</v>
      </c>
      <c r="H773" s="137" t="s">
        <v>4043</v>
      </c>
      <c r="I773" s="113" t="s">
        <v>292</v>
      </c>
      <c r="J773" s="108" t="str">
        <f t="shared" si="11"/>
        <v>037908</v>
      </c>
    </row>
    <row r="774" spans="1:10" ht="15" customHeight="1" x14ac:dyDescent="0.25">
      <c r="A774" t="str">
        <f>Table1[[#This Row],[District name]]&amp;" "&amp;Table1[[#This Row],[District number]]</f>
        <v>NEW WAVERLY ISD 236901</v>
      </c>
      <c r="B774" t="s">
        <v>4044</v>
      </c>
      <c r="C774" s="1"/>
      <c r="D774" t="s">
        <v>4045</v>
      </c>
      <c r="E774" s="2" t="s">
        <v>480</v>
      </c>
      <c r="F774" s="137" t="s">
        <v>4046</v>
      </c>
      <c r="G774" s="137" t="s">
        <v>4047</v>
      </c>
      <c r="H774" s="137" t="s">
        <v>4048</v>
      </c>
      <c r="I774" s="113" t="s">
        <v>292</v>
      </c>
      <c r="J774" s="108" t="str">
        <f t="shared" ref="J774:J837" si="12">LEFT(B774,6)</f>
        <v>236901</v>
      </c>
    </row>
    <row r="775" spans="1:10" ht="15" customHeight="1" x14ac:dyDescent="0.25">
      <c r="A775" t="str">
        <f>Table1[[#This Row],[District name]]&amp;" "&amp;Table1[[#This Row],[District number]]</f>
        <v>NEWCASTLE ISD 252902</v>
      </c>
      <c r="B775" t="s">
        <v>4049</v>
      </c>
      <c r="C775" s="1"/>
      <c r="D775" t="s">
        <v>4050</v>
      </c>
      <c r="E775" s="2" t="s">
        <v>541</v>
      </c>
      <c r="F775" s="137" t="s">
        <v>1239</v>
      </c>
      <c r="G775" s="137" t="s">
        <v>4051</v>
      </c>
      <c r="H775" s="137" t="s">
        <v>4052</v>
      </c>
      <c r="I775" s="113" t="s">
        <v>292</v>
      </c>
      <c r="J775" s="108" t="str">
        <f t="shared" si="12"/>
        <v>252902</v>
      </c>
    </row>
    <row r="776" spans="1:10" ht="15" customHeight="1" x14ac:dyDescent="0.25">
      <c r="A776" t="str">
        <f>Table1[[#This Row],[District name]]&amp;" "&amp;Table1[[#This Row],[District number]]</f>
        <v>NEWMAN INTERNATIONAL ACADEMY OF ARLINGTON 220817</v>
      </c>
      <c r="B776" t="s">
        <v>4053</v>
      </c>
      <c r="C776" s="1"/>
      <c r="D776" t="s">
        <v>4054</v>
      </c>
      <c r="E776" s="2" t="s">
        <v>402</v>
      </c>
      <c r="F776" s="137" t="s">
        <v>4055</v>
      </c>
      <c r="G776" s="137" t="s">
        <v>4056</v>
      </c>
      <c r="H776" s="137" t="s">
        <v>4057</v>
      </c>
      <c r="I776" s="113" t="s">
        <v>292</v>
      </c>
      <c r="J776" s="108" t="str">
        <f t="shared" si="12"/>
        <v>220817</v>
      </c>
    </row>
    <row r="777" spans="1:10" ht="15" customHeight="1" x14ac:dyDescent="0.25">
      <c r="A777" t="str">
        <f>Table1[[#This Row],[District name]]&amp;" "&amp;Table1[[#This Row],[District number]]</f>
        <v>NEWTON ISD 176902</v>
      </c>
      <c r="B777" t="s">
        <v>4058</v>
      </c>
      <c r="C777" s="1"/>
      <c r="D777" t="s">
        <v>4059</v>
      </c>
      <c r="E777" s="2" t="s">
        <v>706</v>
      </c>
      <c r="F777" s="137" t="s">
        <v>4060</v>
      </c>
      <c r="G777" s="137" t="s">
        <v>4061</v>
      </c>
      <c r="H777" s="137" t="s">
        <v>4062</v>
      </c>
      <c r="I777" s="113" t="s">
        <v>292</v>
      </c>
      <c r="J777" s="108" t="str">
        <f t="shared" si="12"/>
        <v>176902</v>
      </c>
    </row>
    <row r="778" spans="1:10" ht="15" customHeight="1" x14ac:dyDescent="0.25">
      <c r="A778" t="str">
        <f>Table1[[#This Row],[District name]]&amp;" "&amp;Table1[[#This Row],[District number]]</f>
        <v>NIXON-SMILEY CISD 089903</v>
      </c>
      <c r="B778" t="s">
        <v>4063</v>
      </c>
      <c r="C778" s="1"/>
      <c r="D778" t="s">
        <v>4064</v>
      </c>
      <c r="E778" s="2" t="s">
        <v>598</v>
      </c>
      <c r="F778" s="137" t="s">
        <v>4065</v>
      </c>
      <c r="G778" s="137" t="s">
        <v>4066</v>
      </c>
      <c r="H778" s="137" t="s">
        <v>4067</v>
      </c>
      <c r="I778" s="113" t="s">
        <v>292</v>
      </c>
      <c r="J778" s="108" t="str">
        <f t="shared" si="12"/>
        <v>089903</v>
      </c>
    </row>
    <row r="779" spans="1:10" ht="15" customHeight="1" x14ac:dyDescent="0.25">
      <c r="A779" t="str">
        <f>Table1[[#This Row],[District name]]&amp;" "&amp;Table1[[#This Row],[District number]]</f>
        <v>NOCONA ISD 169902</v>
      </c>
      <c r="B779" t="s">
        <v>4068</v>
      </c>
      <c r="C779" s="1"/>
      <c r="D779" t="s">
        <v>4069</v>
      </c>
      <c r="E779" s="2" t="s">
        <v>541</v>
      </c>
      <c r="F779" s="137" t="s">
        <v>4070</v>
      </c>
      <c r="G779" s="137" t="s">
        <v>4071</v>
      </c>
      <c r="H779" s="137" t="s">
        <v>4072</v>
      </c>
      <c r="I779" s="113" t="s">
        <v>292</v>
      </c>
      <c r="J779" s="108" t="str">
        <f t="shared" si="12"/>
        <v>169902</v>
      </c>
    </row>
    <row r="780" spans="1:10" ht="15" customHeight="1" x14ac:dyDescent="0.25">
      <c r="A780" t="str">
        <f>Table1[[#This Row],[District name]]&amp;" "&amp;Table1[[#This Row],[District number]]</f>
        <v>NORDHEIM ISD 062902</v>
      </c>
      <c r="B780" t="s">
        <v>4073</v>
      </c>
      <c r="C780" s="1"/>
      <c r="D780" t="s">
        <v>4074</v>
      </c>
      <c r="E780" s="2" t="s">
        <v>614</v>
      </c>
      <c r="F780" s="137" t="s">
        <v>4075</v>
      </c>
      <c r="G780" s="137" t="s">
        <v>4076</v>
      </c>
      <c r="H780" s="137" t="s">
        <v>4077</v>
      </c>
      <c r="I780" s="113" t="s">
        <v>292</v>
      </c>
      <c r="J780" s="108" t="str">
        <f t="shared" si="12"/>
        <v>062902</v>
      </c>
    </row>
    <row r="781" spans="1:10" ht="15" customHeight="1" x14ac:dyDescent="0.25">
      <c r="A781" t="str">
        <f>Table1[[#This Row],[District name]]&amp;" "&amp;Table1[[#This Row],[District number]]</f>
        <v>NORMANGEE ISD 145906</v>
      </c>
      <c r="B781" t="s">
        <v>4078</v>
      </c>
      <c r="C781" s="1"/>
      <c r="D781" t="s">
        <v>4079</v>
      </c>
      <c r="E781" s="2" t="s">
        <v>480</v>
      </c>
      <c r="F781" s="137" t="s">
        <v>4080</v>
      </c>
      <c r="G781" s="137" t="s">
        <v>4081</v>
      </c>
      <c r="H781" s="137" t="s">
        <v>4082</v>
      </c>
      <c r="I781" s="113" t="s">
        <v>292</v>
      </c>
      <c r="J781" s="108" t="str">
        <f t="shared" si="12"/>
        <v>145906</v>
      </c>
    </row>
    <row r="782" spans="1:10" ht="15" customHeight="1" x14ac:dyDescent="0.25">
      <c r="A782" t="str">
        <f>Table1[[#This Row],[District name]]&amp;" "&amp;Table1[[#This Row],[District number]]</f>
        <v>NORTH EAST ISD 015910</v>
      </c>
      <c r="B782" t="s">
        <v>4083</v>
      </c>
      <c r="C782" s="1"/>
      <c r="D782" t="s">
        <v>4084</v>
      </c>
      <c r="E782" s="2" t="s">
        <v>376</v>
      </c>
      <c r="F782" s="137" t="s">
        <v>4085</v>
      </c>
      <c r="G782" s="137" t="s">
        <v>4086</v>
      </c>
      <c r="H782" s="137" t="s">
        <v>4087</v>
      </c>
      <c r="I782" s="113" t="s">
        <v>292</v>
      </c>
      <c r="J782" s="108" t="str">
        <f t="shared" si="12"/>
        <v>015910</v>
      </c>
    </row>
    <row r="783" spans="1:10" ht="15" customHeight="1" x14ac:dyDescent="0.25">
      <c r="A783" t="str">
        <f>Table1[[#This Row],[District name]]&amp;" "&amp;Table1[[#This Row],[District number]]</f>
        <v>NORTH HOPKINS ISD 112906</v>
      </c>
      <c r="B783" t="s">
        <v>4088</v>
      </c>
      <c r="C783" s="1"/>
      <c r="D783" t="s">
        <v>4089</v>
      </c>
      <c r="E783" s="2" t="s">
        <v>587</v>
      </c>
      <c r="F783" s="137" t="s">
        <v>4090</v>
      </c>
      <c r="G783" s="137" t="s">
        <v>4091</v>
      </c>
      <c r="H783" s="137" t="s">
        <v>4092</v>
      </c>
      <c r="I783" s="113" t="s">
        <v>292</v>
      </c>
      <c r="J783" s="108" t="str">
        <f t="shared" si="12"/>
        <v>112906</v>
      </c>
    </row>
    <row r="784" spans="1:10" ht="15" customHeight="1" x14ac:dyDescent="0.25">
      <c r="A784" t="str">
        <f>Table1[[#This Row],[District name]]&amp;" "&amp;Table1[[#This Row],[District number]]</f>
        <v>NORTH LAMAR ISD 139911</v>
      </c>
      <c r="B784" t="s">
        <v>4093</v>
      </c>
      <c r="C784" s="1"/>
      <c r="D784" t="s">
        <v>4094</v>
      </c>
      <c r="E784" s="2" t="s">
        <v>587</v>
      </c>
      <c r="F784" s="137" t="s">
        <v>4095</v>
      </c>
      <c r="G784" s="137" t="s">
        <v>4096</v>
      </c>
      <c r="H784" s="137" t="s">
        <v>4097</v>
      </c>
      <c r="I784" s="113" t="s">
        <v>292</v>
      </c>
      <c r="J784" s="108" t="str">
        <f t="shared" si="12"/>
        <v>139911</v>
      </c>
    </row>
    <row r="785" spans="1:10" ht="15" customHeight="1" x14ac:dyDescent="0.25">
      <c r="A785" t="str">
        <f>Table1[[#This Row],[District name]]&amp;" "&amp;Table1[[#This Row],[District number]]</f>
        <v>NORTH TEXAS COLLEGIATE ACADEMY 061802</v>
      </c>
      <c r="B785" t="s">
        <v>4098</v>
      </c>
      <c r="C785" s="1"/>
      <c r="D785" t="s">
        <v>4099</v>
      </c>
      <c r="E785" s="2" t="s">
        <v>402</v>
      </c>
      <c r="F785" s="137" t="s">
        <v>4100</v>
      </c>
      <c r="G785" s="137" t="s">
        <v>4101</v>
      </c>
      <c r="H785" s="137" t="s">
        <v>4102</v>
      </c>
      <c r="I785" s="113" t="s">
        <v>292</v>
      </c>
      <c r="J785" s="108" t="str">
        <f t="shared" si="12"/>
        <v>061802</v>
      </c>
    </row>
    <row r="786" spans="1:10" ht="15" customHeight="1" x14ac:dyDescent="0.25">
      <c r="A786" t="str">
        <f>Table1[[#This Row],[District name]]&amp;" "&amp;Table1[[#This Row],[District number]]</f>
        <v>NORTH ZULCH ISD 154903</v>
      </c>
      <c r="B786" t="s">
        <v>4103</v>
      </c>
      <c r="C786" s="1"/>
      <c r="D786" t="s">
        <v>4104</v>
      </c>
      <c r="E786" s="2" t="s">
        <v>480</v>
      </c>
      <c r="F786" s="137" t="s">
        <v>4105</v>
      </c>
      <c r="G786" s="137" t="s">
        <v>4106</v>
      </c>
      <c r="H786" s="137" t="s">
        <v>4107</v>
      </c>
      <c r="I786" s="113" t="s">
        <v>292</v>
      </c>
      <c r="J786" s="108" t="str">
        <f t="shared" si="12"/>
        <v>154903</v>
      </c>
    </row>
    <row r="787" spans="1:10" ht="15" customHeight="1" x14ac:dyDescent="0.25">
      <c r="A787" t="str">
        <f>Table1[[#This Row],[District name]]&amp;" "&amp;Table1[[#This Row],[District number]]</f>
        <v>NORTHSIDE ISD 015915</v>
      </c>
      <c r="B787" t="s">
        <v>4108</v>
      </c>
      <c r="C787" s="1"/>
      <c r="D787" t="s">
        <v>4109</v>
      </c>
      <c r="E787" s="2" t="s">
        <v>376</v>
      </c>
      <c r="F787" s="137" t="s">
        <v>4110</v>
      </c>
      <c r="G787" s="137" t="s">
        <v>4111</v>
      </c>
      <c r="H787" s="137" t="s">
        <v>4112</v>
      </c>
      <c r="I787" s="113" t="s">
        <v>292</v>
      </c>
      <c r="J787" s="108" t="str">
        <f t="shared" si="12"/>
        <v>015915</v>
      </c>
    </row>
    <row r="788" spans="1:10" ht="15" customHeight="1" x14ac:dyDescent="0.25">
      <c r="A788" t="str">
        <f>Table1[[#This Row],[District name]]&amp;" "&amp;Table1[[#This Row],[District number]]</f>
        <v>NORTHSIDE ISD 244905</v>
      </c>
      <c r="B788" t="s">
        <v>4113</v>
      </c>
      <c r="C788" s="1"/>
      <c r="D788" t="s">
        <v>4109</v>
      </c>
      <c r="E788" s="2" t="s">
        <v>541</v>
      </c>
      <c r="F788" s="137" t="s">
        <v>4114</v>
      </c>
      <c r="G788" s="137" t="s">
        <v>4115</v>
      </c>
      <c r="H788" s="137" t="s">
        <v>4116</v>
      </c>
      <c r="I788" s="113" t="s">
        <v>292</v>
      </c>
      <c r="J788" s="108" t="str">
        <f t="shared" si="12"/>
        <v>244905</v>
      </c>
    </row>
    <row r="789" spans="1:10" ht="15" customHeight="1" x14ac:dyDescent="0.25">
      <c r="A789" t="str">
        <f>Table1[[#This Row],[District name]]&amp;" "&amp;Table1[[#This Row],[District number]]</f>
        <v>NORTHWEST ISD 061911</v>
      </c>
      <c r="B789" t="s">
        <v>4117</v>
      </c>
      <c r="C789" s="1"/>
      <c r="D789" t="s">
        <v>4118</v>
      </c>
      <c r="E789" s="2" t="s">
        <v>402</v>
      </c>
      <c r="F789" s="137" t="s">
        <v>4119</v>
      </c>
      <c r="G789" s="137" t="s">
        <v>4120</v>
      </c>
      <c r="H789" s="137" t="s">
        <v>4121</v>
      </c>
      <c r="I789" s="113" t="s">
        <v>292</v>
      </c>
      <c r="J789" s="108" t="str">
        <f t="shared" si="12"/>
        <v>061911</v>
      </c>
    </row>
    <row r="790" spans="1:10" ht="15" customHeight="1" x14ac:dyDescent="0.25">
      <c r="A790" t="str">
        <f>Table1[[#This Row],[District name]]&amp;" "&amp;Table1[[#This Row],[District number]]</f>
        <v>NOVA ACADEMY 057809</v>
      </c>
      <c r="B790" t="s">
        <v>4122</v>
      </c>
      <c r="C790" s="1"/>
      <c r="D790" t="s">
        <v>4123</v>
      </c>
      <c r="E790" s="2" t="s">
        <v>288</v>
      </c>
      <c r="F790" s="137" t="s">
        <v>4124</v>
      </c>
      <c r="G790" s="137" t="s">
        <v>4125</v>
      </c>
      <c r="H790" s="137" t="s">
        <v>4126</v>
      </c>
      <c r="I790" s="113" t="s">
        <v>292</v>
      </c>
      <c r="J790" s="108" t="str">
        <f t="shared" si="12"/>
        <v>057809</v>
      </c>
    </row>
    <row r="791" spans="1:10" ht="15" customHeight="1" x14ac:dyDescent="0.25">
      <c r="A791" t="str">
        <f>Table1[[#This Row],[District name]]&amp;" "&amp;Table1[[#This Row],[District number]]</f>
        <v>NOVA ACADEMY SOUTHEAST 057827</v>
      </c>
      <c r="B791" t="s">
        <v>4127</v>
      </c>
      <c r="C791" s="1"/>
      <c r="D791" t="s">
        <v>4128</v>
      </c>
      <c r="E791" s="2" t="s">
        <v>288</v>
      </c>
      <c r="F791" s="137" t="s">
        <v>4129</v>
      </c>
      <c r="G791" s="137" t="s">
        <v>4130</v>
      </c>
      <c r="H791" s="137" t="s">
        <v>4131</v>
      </c>
      <c r="I791" s="113" t="s">
        <v>292</v>
      </c>
      <c r="J791" s="108" t="str">
        <f t="shared" si="12"/>
        <v>057827</v>
      </c>
    </row>
    <row r="792" spans="1:10" ht="15" customHeight="1" x14ac:dyDescent="0.25">
      <c r="A792" t="str">
        <f>Table1[[#This Row],[District name]]&amp;" "&amp;Table1[[#This Row],[District number]]</f>
        <v>NUECES CANYON CISD 069902</v>
      </c>
      <c r="B792" t="s">
        <v>4132</v>
      </c>
      <c r="C792" s="1"/>
      <c r="D792" t="s">
        <v>4133</v>
      </c>
      <c r="E792" s="2" t="s">
        <v>650</v>
      </c>
      <c r="F792" s="137" t="s">
        <v>1664</v>
      </c>
      <c r="G792" s="137" t="s">
        <v>4134</v>
      </c>
      <c r="H792" s="137" t="s">
        <v>4135</v>
      </c>
      <c r="I792" s="113" t="s">
        <v>292</v>
      </c>
      <c r="J792" s="108" t="str">
        <f t="shared" si="12"/>
        <v>069902</v>
      </c>
    </row>
    <row r="793" spans="1:10" ht="15" customHeight="1" x14ac:dyDescent="0.25">
      <c r="A793" t="str">
        <f>Table1[[#This Row],[District name]]&amp;" "&amp;Table1[[#This Row],[District number]]</f>
        <v>NURSERY ISD 235904</v>
      </c>
      <c r="B793" t="s">
        <v>4136</v>
      </c>
      <c r="C793" s="1"/>
      <c r="D793" t="s">
        <v>4137</v>
      </c>
      <c r="E793" s="2" t="s">
        <v>614</v>
      </c>
      <c r="F793" s="137" t="s">
        <v>4138</v>
      </c>
      <c r="G793" s="137" t="s">
        <v>4139</v>
      </c>
      <c r="H793" s="137" t="s">
        <v>4140</v>
      </c>
      <c r="I793" s="113" t="s">
        <v>292</v>
      </c>
      <c r="J793" s="108" t="str">
        <f t="shared" si="12"/>
        <v>235904</v>
      </c>
    </row>
    <row r="794" spans="1:10" ht="15" customHeight="1" x14ac:dyDescent="0.25">
      <c r="A794" t="str">
        <f>Table1[[#This Row],[District name]]&amp;" "&amp;Table1[[#This Row],[District number]]</f>
        <v>NYOS CHARTER SCHOOL 227804</v>
      </c>
      <c r="B794" t="s">
        <v>4141</v>
      </c>
      <c r="C794" s="1"/>
      <c r="D794" t="s">
        <v>4142</v>
      </c>
      <c r="E794" s="2" t="s">
        <v>598</v>
      </c>
      <c r="F794" s="137" t="s">
        <v>4143</v>
      </c>
      <c r="G794" s="137" t="s">
        <v>4129</v>
      </c>
      <c r="H794" s="137" t="s">
        <v>4144</v>
      </c>
      <c r="I794" s="113" t="s">
        <v>292</v>
      </c>
      <c r="J794" s="108" t="str">
        <f t="shared" si="12"/>
        <v>227804</v>
      </c>
    </row>
    <row r="795" spans="1:10" ht="15" customHeight="1" x14ac:dyDescent="0.25">
      <c r="A795" t="str">
        <f>Table1[[#This Row],[District name]]&amp;" "&amp;Table1[[#This Row],[District number]]</f>
        <v>OAKWOOD ISD 145907</v>
      </c>
      <c r="B795" t="s">
        <v>4145</v>
      </c>
      <c r="C795" s="1"/>
      <c r="D795" t="s">
        <v>4146</v>
      </c>
      <c r="E795" s="2" t="s">
        <v>480</v>
      </c>
      <c r="F795" s="137" t="s">
        <v>4147</v>
      </c>
      <c r="G795" s="137" t="s">
        <v>4148</v>
      </c>
      <c r="H795" s="137" t="s">
        <v>4149</v>
      </c>
      <c r="I795" s="113" t="s">
        <v>292</v>
      </c>
      <c r="J795" s="108" t="str">
        <f t="shared" si="12"/>
        <v>145907</v>
      </c>
    </row>
    <row r="796" spans="1:10" ht="15" customHeight="1" x14ac:dyDescent="0.25">
      <c r="A796" t="str">
        <f>Table1[[#This Row],[District name]]&amp;" "&amp;Table1[[#This Row],[District number]]</f>
        <v>ODEM-EDROY ISD 205905</v>
      </c>
      <c r="B796" t="s">
        <v>4150</v>
      </c>
      <c r="C796" s="1"/>
      <c r="D796" t="s">
        <v>4151</v>
      </c>
      <c r="E796" s="2" t="s">
        <v>369</v>
      </c>
      <c r="F796" s="137" t="s">
        <v>3455</v>
      </c>
      <c r="G796" s="137" t="s">
        <v>1268</v>
      </c>
      <c r="H796" s="137" t="s">
        <v>4152</v>
      </c>
      <c r="I796" s="113" t="s">
        <v>292</v>
      </c>
      <c r="J796" s="108" t="str">
        <f t="shared" si="12"/>
        <v>205905</v>
      </c>
    </row>
    <row r="797" spans="1:10" ht="15" customHeight="1" x14ac:dyDescent="0.25">
      <c r="A797" t="str">
        <f>Table1[[#This Row],[District name]]&amp;" "&amp;Table1[[#This Row],[District number]]</f>
        <v>O'DONNELL ISD 153903</v>
      </c>
      <c r="B797" t="s">
        <v>4153</v>
      </c>
      <c r="C797" s="1"/>
      <c r="D797" t="s">
        <v>4154</v>
      </c>
      <c r="E797" s="2" t="s">
        <v>308</v>
      </c>
      <c r="F797" s="137" t="s">
        <v>4155</v>
      </c>
      <c r="G797" s="137" t="s">
        <v>4156</v>
      </c>
      <c r="H797" s="137" t="s">
        <v>4157</v>
      </c>
      <c r="I797" s="113" t="s">
        <v>292</v>
      </c>
      <c r="J797" s="108" t="str">
        <f t="shared" si="12"/>
        <v>153903</v>
      </c>
    </row>
    <row r="798" spans="1:10" ht="15" customHeight="1" x14ac:dyDescent="0.25">
      <c r="A798" t="str">
        <f>Table1[[#This Row],[District name]]&amp;" "&amp;Table1[[#This Row],[District number]]</f>
        <v>ODYSSEY ACADEMY INC 084802</v>
      </c>
      <c r="B798" t="s">
        <v>4158</v>
      </c>
      <c r="C798" s="1"/>
      <c r="D798" t="s">
        <v>4159</v>
      </c>
      <c r="E798" s="2" t="s">
        <v>295</v>
      </c>
      <c r="F798" s="137" t="s">
        <v>4160</v>
      </c>
      <c r="G798" s="137" t="s">
        <v>4161</v>
      </c>
      <c r="H798" s="137" t="s">
        <v>4162</v>
      </c>
      <c r="I798" s="113" t="s">
        <v>292</v>
      </c>
      <c r="J798" s="108" t="str">
        <f t="shared" si="12"/>
        <v>084802</v>
      </c>
    </row>
    <row r="799" spans="1:10" ht="15" customHeight="1" x14ac:dyDescent="0.25">
      <c r="A799" t="str">
        <f>Table1[[#This Row],[District name]]&amp;" "&amp;Table1[[#This Row],[District number]]</f>
        <v>OGLESBY ISD 050904</v>
      </c>
      <c r="B799" t="s">
        <v>4163</v>
      </c>
      <c r="C799" s="1"/>
      <c r="D799" t="s">
        <v>4164</v>
      </c>
      <c r="E799" s="2" t="s">
        <v>301</v>
      </c>
      <c r="F799" s="137" t="s">
        <v>2630</v>
      </c>
      <c r="G799" s="137" t="s">
        <v>4165</v>
      </c>
      <c r="H799" s="137" t="s">
        <v>4166</v>
      </c>
      <c r="I799" s="113" t="s">
        <v>292</v>
      </c>
      <c r="J799" s="108" t="str">
        <f t="shared" si="12"/>
        <v>050904</v>
      </c>
    </row>
    <row r="800" spans="1:10" ht="15" customHeight="1" x14ac:dyDescent="0.25">
      <c r="A800" t="str">
        <f>Table1[[#This Row],[District name]]&amp;" "&amp;Table1[[#This Row],[District number]]</f>
        <v>OLFEN ISD 200906</v>
      </c>
      <c r="B800" t="s">
        <v>4167</v>
      </c>
      <c r="C800" s="1"/>
      <c r="D800" t="s">
        <v>4168</v>
      </c>
      <c r="E800" s="2" t="s">
        <v>650</v>
      </c>
      <c r="F800" s="137" t="s">
        <v>4169</v>
      </c>
      <c r="G800" s="137" t="s">
        <v>4170</v>
      </c>
      <c r="H800" s="137" t="s">
        <v>4171</v>
      </c>
      <c r="I800" s="113" t="s">
        <v>292</v>
      </c>
      <c r="J800" s="108" t="str">
        <f t="shared" si="12"/>
        <v>200906</v>
      </c>
    </row>
    <row r="801" spans="1:10" ht="15" customHeight="1" x14ac:dyDescent="0.25">
      <c r="A801" t="str">
        <f>Table1[[#This Row],[District name]]&amp;" "&amp;Table1[[#This Row],[District number]]</f>
        <v>OLNEY ISD 252903</v>
      </c>
      <c r="B801" s="138" t="s">
        <v>4172</v>
      </c>
      <c r="C801" s="1"/>
      <c r="D801" t="s">
        <v>4173</v>
      </c>
      <c r="E801" s="2" t="s">
        <v>541</v>
      </c>
      <c r="F801" s="137" t="s">
        <v>4174</v>
      </c>
      <c r="G801" s="137" t="s">
        <v>4175</v>
      </c>
      <c r="H801" s="137" t="s">
        <v>4176</v>
      </c>
      <c r="I801" s="113" t="s">
        <v>292</v>
      </c>
      <c r="J801" s="108" t="str">
        <f t="shared" si="12"/>
        <v>252903</v>
      </c>
    </row>
    <row r="802" spans="1:10" ht="15" customHeight="1" x14ac:dyDescent="0.25">
      <c r="A802" t="str">
        <f>Table1[[#This Row],[District name]]&amp;" "&amp;Table1[[#This Row],[District number]]</f>
        <v>OLTON ISD 140905</v>
      </c>
      <c r="B802" t="s">
        <v>4177</v>
      </c>
      <c r="C802" s="1"/>
      <c r="D802" t="s">
        <v>4178</v>
      </c>
      <c r="E802" s="2" t="s">
        <v>308</v>
      </c>
      <c r="F802" s="137" t="s">
        <v>4179</v>
      </c>
      <c r="G802" s="137" t="s">
        <v>4180</v>
      </c>
      <c r="H802" s="137" t="s">
        <v>4181</v>
      </c>
      <c r="I802" s="113" t="s">
        <v>292</v>
      </c>
      <c r="J802" s="108" t="str">
        <f t="shared" si="12"/>
        <v>140905</v>
      </c>
    </row>
    <row r="803" spans="1:10" ht="15" customHeight="1" x14ac:dyDescent="0.25">
      <c r="A803" t="str">
        <f>Table1[[#This Row],[District name]]&amp;" "&amp;Table1[[#This Row],[District number]]</f>
        <v>ONALASKA ISD 187910</v>
      </c>
      <c r="B803" t="s">
        <v>4182</v>
      </c>
      <c r="C803" s="1"/>
      <c r="D803" t="s">
        <v>4183</v>
      </c>
      <c r="E803" s="2" t="s">
        <v>480</v>
      </c>
      <c r="F803" s="137" t="s">
        <v>4184</v>
      </c>
      <c r="G803" s="137" t="s">
        <v>4185</v>
      </c>
      <c r="H803" s="137" t="s">
        <v>4186</v>
      </c>
      <c r="I803" s="113" t="s">
        <v>292</v>
      </c>
      <c r="J803" s="108" t="str">
        <f t="shared" si="12"/>
        <v>187910</v>
      </c>
    </row>
    <row r="804" spans="1:10" ht="15" customHeight="1" x14ac:dyDescent="0.25">
      <c r="A804" t="str">
        <f>Table1[[#This Row],[District name]]&amp;" "&amp;Table1[[#This Row],[District number]]</f>
        <v>ORANGE GROVE ISD 125903</v>
      </c>
      <c r="B804" t="s">
        <v>4187</v>
      </c>
      <c r="C804" s="1"/>
      <c r="D804" t="s">
        <v>4188</v>
      </c>
      <c r="E804" s="2" t="s">
        <v>369</v>
      </c>
      <c r="F804" s="137" t="s">
        <v>4189</v>
      </c>
      <c r="G804" s="137" t="s">
        <v>4190</v>
      </c>
      <c r="H804" s="137" t="s">
        <v>4191</v>
      </c>
      <c r="I804" s="113" t="s">
        <v>292</v>
      </c>
      <c r="J804" s="108" t="str">
        <f t="shared" si="12"/>
        <v>125903</v>
      </c>
    </row>
    <row r="805" spans="1:10" ht="15" customHeight="1" x14ac:dyDescent="0.25">
      <c r="A805" t="str">
        <f>Table1[[#This Row],[District name]]&amp;" "&amp;Table1[[#This Row],[District number]]</f>
        <v>ORANGEFIELD ISD 181905</v>
      </c>
      <c r="B805" t="s">
        <v>4192</v>
      </c>
      <c r="C805" s="1"/>
      <c r="D805" t="s">
        <v>4193</v>
      </c>
      <c r="E805" s="2" t="s">
        <v>706</v>
      </c>
      <c r="F805" s="137" t="s">
        <v>4194</v>
      </c>
      <c r="G805" s="137" t="s">
        <v>4195</v>
      </c>
      <c r="H805" s="137" t="s">
        <v>4196</v>
      </c>
      <c r="I805" s="113" t="s">
        <v>292</v>
      </c>
      <c r="J805" s="108" t="str">
        <f t="shared" si="12"/>
        <v>181905</v>
      </c>
    </row>
    <row r="806" spans="1:10" ht="15" customHeight="1" x14ac:dyDescent="0.25">
      <c r="A806" t="str">
        <f>Table1[[#This Row],[District name]]&amp;" "&amp;Table1[[#This Row],[District number]]</f>
        <v>ORE CITY ISD 230903</v>
      </c>
      <c r="B806" t="s">
        <v>4197</v>
      </c>
      <c r="C806" s="1"/>
      <c r="D806" t="s">
        <v>4198</v>
      </c>
      <c r="E806" s="2" t="s">
        <v>383</v>
      </c>
      <c r="F806" s="137" t="s">
        <v>4199</v>
      </c>
      <c r="G806" s="137" t="s">
        <v>4200</v>
      </c>
      <c r="H806" s="137" t="s">
        <v>4201</v>
      </c>
      <c r="I806" s="113" t="s">
        <v>292</v>
      </c>
      <c r="J806" s="108" t="str">
        <f t="shared" si="12"/>
        <v>230903</v>
      </c>
    </row>
    <row r="807" spans="1:10" ht="15" customHeight="1" x14ac:dyDescent="0.25">
      <c r="A807" t="str">
        <f>Table1[[#This Row],[District name]]&amp;" "&amp;Table1[[#This Row],[District number]]</f>
        <v>ORENDA CHARTER SCHOOL 014804</v>
      </c>
      <c r="B807" t="s">
        <v>4202</v>
      </c>
      <c r="C807" s="1"/>
      <c r="D807" t="s">
        <v>4203</v>
      </c>
      <c r="E807" s="2" t="s">
        <v>301</v>
      </c>
      <c r="F807" s="137" t="s">
        <v>4204</v>
      </c>
      <c r="G807" s="137" t="s">
        <v>4205</v>
      </c>
      <c r="H807" s="137" t="s">
        <v>4206</v>
      </c>
      <c r="I807" s="113" t="s">
        <v>292</v>
      </c>
      <c r="J807" s="108" t="str">
        <f t="shared" si="12"/>
        <v>014804</v>
      </c>
    </row>
    <row r="808" spans="1:10" ht="15" customHeight="1" x14ac:dyDescent="0.25">
      <c r="A808" t="str">
        <f>Table1[[#This Row],[District name]]&amp;" "&amp;Table1[[#This Row],[District number]]</f>
        <v>OVERTON ISD 201908</v>
      </c>
      <c r="B808" t="s">
        <v>4207</v>
      </c>
      <c r="C808" s="1"/>
      <c r="D808" t="s">
        <v>4208</v>
      </c>
      <c r="E808" s="2" t="s">
        <v>383</v>
      </c>
      <c r="F808" s="137" t="s">
        <v>4209</v>
      </c>
      <c r="G808" s="137" t="s">
        <v>4210</v>
      </c>
      <c r="H808" s="137" t="s">
        <v>4211</v>
      </c>
      <c r="I808" s="113" t="s">
        <v>292</v>
      </c>
      <c r="J808" s="108" t="str">
        <f t="shared" si="12"/>
        <v>201908</v>
      </c>
    </row>
    <row r="809" spans="1:10" ht="15" customHeight="1" x14ac:dyDescent="0.25">
      <c r="A809" t="str">
        <f>Table1[[#This Row],[District name]]&amp;" "&amp;Table1[[#This Row],[District number]]</f>
        <v>PADUCAH ISD 051901</v>
      </c>
      <c r="B809" t="s">
        <v>4212</v>
      </c>
      <c r="C809" s="1"/>
      <c r="D809" t="s">
        <v>4213</v>
      </c>
      <c r="E809" s="2" t="s">
        <v>308</v>
      </c>
      <c r="F809" s="137" t="s">
        <v>4214</v>
      </c>
      <c r="G809" s="137" t="s">
        <v>4215</v>
      </c>
      <c r="H809" s="137" t="s">
        <v>4216</v>
      </c>
      <c r="I809" s="113" t="s">
        <v>292</v>
      </c>
      <c r="J809" s="108" t="str">
        <f t="shared" si="12"/>
        <v>051901</v>
      </c>
    </row>
    <row r="810" spans="1:10" ht="15" customHeight="1" x14ac:dyDescent="0.25">
      <c r="A810" t="str">
        <f>Table1[[#This Row],[District name]]&amp;" "&amp;Table1[[#This Row],[District number]]</f>
        <v>PAINT CREEK ISD 104907</v>
      </c>
      <c r="B810" t="s">
        <v>4217</v>
      </c>
      <c r="C810" s="1"/>
      <c r="D810" t="s">
        <v>4218</v>
      </c>
      <c r="E810" s="2" t="s">
        <v>314</v>
      </c>
      <c r="F810" s="137" t="s">
        <v>2727</v>
      </c>
      <c r="G810" s="137" t="s">
        <v>4219</v>
      </c>
      <c r="H810" s="137" t="s">
        <v>4220</v>
      </c>
      <c r="I810" s="113" t="s">
        <v>292</v>
      </c>
      <c r="J810" s="108" t="str">
        <f t="shared" si="12"/>
        <v>104907</v>
      </c>
    </row>
    <row r="811" spans="1:10" ht="15" customHeight="1" x14ac:dyDescent="0.25">
      <c r="A811" t="str">
        <f>Table1[[#This Row],[District name]]&amp;" "&amp;Table1[[#This Row],[District number]]</f>
        <v>PAINT ROCK ISD 048903</v>
      </c>
      <c r="B811" t="s">
        <v>4221</v>
      </c>
      <c r="C811" s="1"/>
      <c r="D811" t="s">
        <v>4222</v>
      </c>
      <c r="E811" s="2" t="s">
        <v>650</v>
      </c>
      <c r="F811" s="137" t="s">
        <v>4223</v>
      </c>
      <c r="G811" s="137" t="s">
        <v>4224</v>
      </c>
      <c r="H811" s="137" t="s">
        <v>4225</v>
      </c>
      <c r="I811" s="113" t="s">
        <v>292</v>
      </c>
      <c r="J811" s="108" t="str">
        <f t="shared" si="12"/>
        <v>048903</v>
      </c>
    </row>
    <row r="812" spans="1:10" ht="15" customHeight="1" x14ac:dyDescent="0.25">
      <c r="A812" t="str">
        <f>Table1[[#This Row],[District name]]&amp;" "&amp;Table1[[#This Row],[District number]]</f>
        <v>PALACIOS ISD 158905</v>
      </c>
      <c r="B812" t="s">
        <v>4226</v>
      </c>
      <c r="C812" s="1"/>
      <c r="D812" t="s">
        <v>4227</v>
      </c>
      <c r="E812" s="2" t="s">
        <v>614</v>
      </c>
      <c r="F812" s="137" t="s">
        <v>4228</v>
      </c>
      <c r="G812" s="137" t="s">
        <v>4229</v>
      </c>
      <c r="H812" s="137" t="s">
        <v>4230</v>
      </c>
      <c r="I812" s="113" t="s">
        <v>292</v>
      </c>
      <c r="J812" s="108" t="str">
        <f t="shared" si="12"/>
        <v>158905</v>
      </c>
    </row>
    <row r="813" spans="1:10" ht="15" customHeight="1" x14ac:dyDescent="0.25">
      <c r="A813" t="str">
        <f>Table1[[#This Row],[District name]]&amp;" "&amp;Table1[[#This Row],[District number]]</f>
        <v>PALESTINE ISD 001907</v>
      </c>
      <c r="B813" t="s">
        <v>4231</v>
      </c>
      <c r="C813" s="1"/>
      <c r="D813" t="s">
        <v>4232</v>
      </c>
      <c r="E813" s="2" t="s">
        <v>383</v>
      </c>
      <c r="F813" s="137" t="s">
        <v>4233</v>
      </c>
      <c r="G813" s="137" t="s">
        <v>4234</v>
      </c>
      <c r="H813" s="137" t="s">
        <v>4235</v>
      </c>
      <c r="I813" s="113" t="s">
        <v>292</v>
      </c>
      <c r="J813" s="108" t="str">
        <f t="shared" si="12"/>
        <v>001907</v>
      </c>
    </row>
    <row r="814" spans="1:10" ht="15" customHeight="1" x14ac:dyDescent="0.25">
      <c r="A814" t="str">
        <f>Table1[[#This Row],[District name]]&amp;" "&amp;Table1[[#This Row],[District number]]</f>
        <v>PALMER ISD 070910</v>
      </c>
      <c r="B814" t="s">
        <v>4236</v>
      </c>
      <c r="C814" s="1"/>
      <c r="D814" t="s">
        <v>4237</v>
      </c>
      <c r="E814" s="2" t="s">
        <v>288</v>
      </c>
      <c r="F814" s="137" t="s">
        <v>1886</v>
      </c>
      <c r="G814" s="137" t="s">
        <v>4238</v>
      </c>
      <c r="H814" s="137" t="s">
        <v>4239</v>
      </c>
      <c r="I814" s="113" t="s">
        <v>292</v>
      </c>
      <c r="J814" s="108" t="str">
        <f t="shared" si="12"/>
        <v>070910</v>
      </c>
    </row>
    <row r="815" spans="1:10" ht="15" customHeight="1" x14ac:dyDescent="0.25">
      <c r="A815" t="str">
        <f>Table1[[#This Row],[District name]]&amp;" "&amp;Table1[[#This Row],[District number]]</f>
        <v>PALO PINTO ISD 182906</v>
      </c>
      <c r="B815" t="s">
        <v>4240</v>
      </c>
      <c r="C815" s="1"/>
      <c r="D815" t="s">
        <v>4241</v>
      </c>
      <c r="E815" s="2" t="s">
        <v>402</v>
      </c>
      <c r="F815" s="137" t="s">
        <v>2590</v>
      </c>
      <c r="G815" s="137" t="s">
        <v>4242</v>
      </c>
      <c r="H815" s="137" t="s">
        <v>4243</v>
      </c>
      <c r="I815" s="113" t="s">
        <v>292</v>
      </c>
      <c r="J815" s="108" t="str">
        <f t="shared" si="12"/>
        <v>182906</v>
      </c>
    </row>
    <row r="816" spans="1:10" ht="15" customHeight="1" x14ac:dyDescent="0.25">
      <c r="A816" t="str">
        <f>Table1[[#This Row],[District name]]&amp;" "&amp;Table1[[#This Row],[District number]]</f>
        <v>PAMPA ISD 090904</v>
      </c>
      <c r="B816" t="s">
        <v>4244</v>
      </c>
      <c r="C816" s="1"/>
      <c r="D816" t="s">
        <v>4245</v>
      </c>
      <c r="E816" s="2" t="s">
        <v>356</v>
      </c>
      <c r="F816" s="137" t="s">
        <v>4246</v>
      </c>
      <c r="G816" s="137" t="s">
        <v>4247</v>
      </c>
      <c r="H816" s="137" t="s">
        <v>4248</v>
      </c>
      <c r="I816" s="113" t="s">
        <v>292</v>
      </c>
      <c r="J816" s="108" t="str">
        <f t="shared" si="12"/>
        <v>090904</v>
      </c>
    </row>
    <row r="817" spans="1:10" ht="15" customHeight="1" x14ac:dyDescent="0.25">
      <c r="A817" t="str">
        <f>Table1[[#This Row],[District name]]&amp;" "&amp;Table1[[#This Row],[District number]]</f>
        <v>PANHANDLE ISD 033902</v>
      </c>
      <c r="B817" t="s">
        <v>4249</v>
      </c>
      <c r="C817" s="1"/>
      <c r="D817" t="s">
        <v>4250</v>
      </c>
      <c r="E817" s="2" t="s">
        <v>356</v>
      </c>
      <c r="F817" s="137" t="s">
        <v>2101</v>
      </c>
      <c r="G817" s="137" t="s">
        <v>4251</v>
      </c>
      <c r="H817" s="137" t="s">
        <v>4252</v>
      </c>
      <c r="I817" s="113" t="s">
        <v>292</v>
      </c>
      <c r="J817" s="108" t="str">
        <f t="shared" si="12"/>
        <v>033902</v>
      </c>
    </row>
    <row r="818" spans="1:10" ht="15" customHeight="1" x14ac:dyDescent="0.25">
      <c r="A818" t="str">
        <f>Table1[[#This Row],[District name]]&amp;" "&amp;Table1[[#This Row],[District number]]</f>
        <v>PANOLA CHARTER SCHOOL 183801</v>
      </c>
      <c r="B818" t="s">
        <v>4253</v>
      </c>
      <c r="C818" s="1"/>
      <c r="D818" t="s">
        <v>4254</v>
      </c>
      <c r="E818" s="2" t="s">
        <v>383</v>
      </c>
      <c r="F818" s="137" t="s">
        <v>4255</v>
      </c>
      <c r="G818" s="137" t="s">
        <v>4256</v>
      </c>
      <c r="H818" s="137" t="s">
        <v>4257</v>
      </c>
      <c r="I818" s="113" t="s">
        <v>292</v>
      </c>
      <c r="J818" s="108" t="str">
        <f t="shared" si="12"/>
        <v>183801</v>
      </c>
    </row>
    <row r="819" spans="1:10" ht="15" customHeight="1" x14ac:dyDescent="0.25">
      <c r="A819" t="str">
        <f>Table1[[#This Row],[District name]]&amp;" "&amp;Table1[[#This Row],[District number]]</f>
        <v>PANTHER CREEK CISD 042905</v>
      </c>
      <c r="B819" t="s">
        <v>4258</v>
      </c>
      <c r="C819" s="1"/>
      <c r="D819" t="s">
        <v>4259</v>
      </c>
      <c r="E819" s="2" t="s">
        <v>650</v>
      </c>
      <c r="F819" s="137" t="s">
        <v>4260</v>
      </c>
      <c r="G819" s="137" t="s">
        <v>4261</v>
      </c>
      <c r="H819" s="137" t="s">
        <v>4262</v>
      </c>
      <c r="I819" s="113" t="s">
        <v>292</v>
      </c>
      <c r="J819" s="108" t="str">
        <f t="shared" si="12"/>
        <v>042905</v>
      </c>
    </row>
    <row r="820" spans="1:10" ht="15" customHeight="1" x14ac:dyDescent="0.25">
      <c r="A820" t="str">
        <f>Table1[[#This Row],[District name]]&amp;" "&amp;Table1[[#This Row],[District number]]</f>
        <v>PARADISE ISD 249906</v>
      </c>
      <c r="B820" t="s">
        <v>4263</v>
      </c>
      <c r="C820" s="1"/>
      <c r="D820" t="s">
        <v>4264</v>
      </c>
      <c r="E820" s="2" t="s">
        <v>402</v>
      </c>
      <c r="F820" s="137" t="s">
        <v>4265</v>
      </c>
      <c r="G820" s="137" t="s">
        <v>4266</v>
      </c>
      <c r="H820" s="137" t="s">
        <v>4267</v>
      </c>
      <c r="I820" s="113" t="s">
        <v>292</v>
      </c>
      <c r="J820" s="108" t="str">
        <f t="shared" si="12"/>
        <v>249906</v>
      </c>
    </row>
    <row r="821" spans="1:10" ht="15" customHeight="1" x14ac:dyDescent="0.25">
      <c r="A821" t="str">
        <f>Table1[[#This Row],[District name]]&amp;" "&amp;Table1[[#This Row],[District number]]</f>
        <v>PARIS ISD 139909</v>
      </c>
      <c r="B821" t="s">
        <v>4268</v>
      </c>
      <c r="C821" s="1"/>
      <c r="D821" t="s">
        <v>4269</v>
      </c>
      <c r="E821" s="2" t="s">
        <v>587</v>
      </c>
      <c r="F821" s="137" t="s">
        <v>4270</v>
      </c>
      <c r="G821" s="137" t="s">
        <v>4271</v>
      </c>
      <c r="H821" s="137" t="s">
        <v>4272</v>
      </c>
      <c r="I821" s="113" t="s">
        <v>292</v>
      </c>
      <c r="J821" s="108" t="str">
        <f t="shared" si="12"/>
        <v>139909</v>
      </c>
    </row>
    <row r="822" spans="1:10" ht="15" customHeight="1" x14ac:dyDescent="0.25">
      <c r="A822" t="str">
        <f>Table1[[#This Row],[District name]]&amp;" "&amp;Table1[[#This Row],[District number]]</f>
        <v>PASADENA ISD 101917</v>
      </c>
      <c r="B822" t="s">
        <v>4273</v>
      </c>
      <c r="C822" s="1"/>
      <c r="D822" t="s">
        <v>4274</v>
      </c>
      <c r="E822" s="2" t="s">
        <v>295</v>
      </c>
      <c r="F822" s="137" t="s">
        <v>4275</v>
      </c>
      <c r="G822" s="137" t="s">
        <v>4276</v>
      </c>
      <c r="H822" s="137" t="s">
        <v>4277</v>
      </c>
      <c r="I822" s="113" t="s">
        <v>292</v>
      </c>
      <c r="J822" s="108" t="str">
        <f t="shared" si="12"/>
        <v>101917</v>
      </c>
    </row>
    <row r="823" spans="1:10" ht="15" customHeight="1" x14ac:dyDescent="0.25">
      <c r="A823" t="str">
        <f>Table1[[#This Row],[District name]]&amp;" "&amp;Table1[[#This Row],[District number]]</f>
        <v>PATTON SPRINGS ISD 063906</v>
      </c>
      <c r="B823" t="s">
        <v>4278</v>
      </c>
      <c r="C823" s="1"/>
      <c r="D823" t="s">
        <v>4279</v>
      </c>
      <c r="E823" s="2" t="s">
        <v>308</v>
      </c>
      <c r="F823" s="137" t="s">
        <v>4280</v>
      </c>
      <c r="G823" s="137" t="s">
        <v>4281</v>
      </c>
      <c r="H823" s="137" t="s">
        <v>4282</v>
      </c>
      <c r="I823" s="113" t="s">
        <v>292</v>
      </c>
      <c r="J823" s="108" t="str">
        <f t="shared" si="12"/>
        <v>063906</v>
      </c>
    </row>
    <row r="824" spans="1:10" ht="15" customHeight="1" x14ac:dyDescent="0.25">
      <c r="A824" t="str">
        <f>Table1[[#This Row],[District name]]&amp;" "&amp;Table1[[#This Row],[District number]]</f>
        <v>PAWNEE ISD 013902</v>
      </c>
      <c r="B824" t="s">
        <v>4283</v>
      </c>
      <c r="C824" s="1"/>
      <c r="D824" t="s">
        <v>4284</v>
      </c>
      <c r="E824" s="2" t="s">
        <v>369</v>
      </c>
      <c r="F824" s="137" t="s">
        <v>4285</v>
      </c>
      <c r="G824" s="137" t="s">
        <v>4286</v>
      </c>
      <c r="H824" s="137" t="s">
        <v>4287</v>
      </c>
      <c r="I824" s="113" t="s">
        <v>292</v>
      </c>
      <c r="J824" s="108" t="str">
        <f t="shared" si="12"/>
        <v>013902</v>
      </c>
    </row>
    <row r="825" spans="1:10" ht="15" customHeight="1" x14ac:dyDescent="0.25">
      <c r="A825" t="str">
        <f>Table1[[#This Row],[District name]]&amp;" "&amp;Table1[[#This Row],[District number]]</f>
        <v>PEARLAND ISD 020908</v>
      </c>
      <c r="B825" t="s">
        <v>4288</v>
      </c>
      <c r="C825" s="1"/>
      <c r="D825" t="s">
        <v>4289</v>
      </c>
      <c r="E825" s="2" t="s">
        <v>295</v>
      </c>
      <c r="F825" s="137" t="s">
        <v>4290</v>
      </c>
      <c r="G825" s="137" t="s">
        <v>4291</v>
      </c>
      <c r="H825" s="137" t="s">
        <v>4292</v>
      </c>
      <c r="I825" s="113" t="s">
        <v>292</v>
      </c>
      <c r="J825" s="108" t="str">
        <f t="shared" si="12"/>
        <v>020908</v>
      </c>
    </row>
    <row r="826" spans="1:10" ht="15" customHeight="1" x14ac:dyDescent="0.25">
      <c r="A826" t="str">
        <f>Table1[[#This Row],[District name]]&amp;" "&amp;Table1[[#This Row],[District number]]</f>
        <v>PEARSALL ISD 082903</v>
      </c>
      <c r="B826" t="s">
        <v>4293</v>
      </c>
      <c r="C826" s="1"/>
      <c r="D826" t="s">
        <v>4294</v>
      </c>
      <c r="E826" s="2" t="s">
        <v>376</v>
      </c>
      <c r="F826" s="137" t="s">
        <v>4295</v>
      </c>
      <c r="G826" s="137" t="s">
        <v>4296</v>
      </c>
      <c r="H826" s="137" t="s">
        <v>4297</v>
      </c>
      <c r="I826" s="113" t="s">
        <v>292</v>
      </c>
      <c r="J826" s="108" t="str">
        <f t="shared" si="12"/>
        <v>082903</v>
      </c>
    </row>
    <row r="827" spans="1:10" ht="15" customHeight="1" x14ac:dyDescent="0.25">
      <c r="A827" t="str">
        <f>Table1[[#This Row],[District name]]&amp;" "&amp;Table1[[#This Row],[District number]]</f>
        <v>PEASTER ISD 184908</v>
      </c>
      <c r="B827" t="s">
        <v>4298</v>
      </c>
      <c r="C827" s="1"/>
      <c r="D827" t="s">
        <v>4299</v>
      </c>
      <c r="E827" s="2" t="s">
        <v>402</v>
      </c>
      <c r="F827" s="137" t="s">
        <v>2484</v>
      </c>
      <c r="G827" s="137" t="s">
        <v>2485</v>
      </c>
      <c r="H827" s="137" t="s">
        <v>2486</v>
      </c>
      <c r="I827" s="113" t="s">
        <v>292</v>
      </c>
      <c r="J827" s="108" t="str">
        <f t="shared" si="12"/>
        <v>184908</v>
      </c>
    </row>
    <row r="828" spans="1:10" ht="15" customHeight="1" x14ac:dyDescent="0.25">
      <c r="A828" t="str">
        <f>Table1[[#This Row],[District name]]&amp;" "&amp;Table1[[#This Row],[District number]]</f>
        <v>PECOS-BARSTOW-TOYAH ISD 195901</v>
      </c>
      <c r="B828" t="s">
        <v>4300</v>
      </c>
      <c r="C828" s="1"/>
      <c r="D828" t="s">
        <v>4301</v>
      </c>
      <c r="E828" s="2" t="s">
        <v>430</v>
      </c>
      <c r="F828" s="137" t="s">
        <v>4302</v>
      </c>
      <c r="G828" s="137" t="s">
        <v>4303</v>
      </c>
      <c r="H828" s="137" t="s">
        <v>4304</v>
      </c>
      <c r="I828" s="113" t="s">
        <v>292</v>
      </c>
      <c r="J828" s="108" t="str">
        <f t="shared" si="12"/>
        <v>195901</v>
      </c>
    </row>
    <row r="829" spans="1:10" ht="15" customHeight="1" x14ac:dyDescent="0.25">
      <c r="A829" t="str">
        <f>Table1[[#This Row],[District name]]&amp;" "&amp;Table1[[#This Row],[District number]]</f>
        <v>PEGASUS SCHOOL OF LIBERAL ARTS AND SCIENCES 057802</v>
      </c>
      <c r="B829" t="s">
        <v>4305</v>
      </c>
      <c r="C829" s="1"/>
      <c r="D829" t="s">
        <v>4306</v>
      </c>
      <c r="E829" s="2" t="s">
        <v>288</v>
      </c>
      <c r="F829" s="137" t="s">
        <v>4307</v>
      </c>
      <c r="G829" s="137" t="s">
        <v>4308</v>
      </c>
      <c r="H829" s="137" t="s">
        <v>4309</v>
      </c>
      <c r="I829" s="113" t="s">
        <v>292</v>
      </c>
      <c r="J829" s="108" t="str">
        <f t="shared" si="12"/>
        <v>057802</v>
      </c>
    </row>
    <row r="830" spans="1:10" ht="15" customHeight="1" x14ac:dyDescent="0.25">
      <c r="A830" t="str">
        <f>Table1[[#This Row],[District name]]&amp;" "&amp;Table1[[#This Row],[District number]]</f>
        <v>PENELOPE ISD 109914</v>
      </c>
      <c r="B830" t="s">
        <v>4310</v>
      </c>
      <c r="C830" s="1"/>
      <c r="D830" t="s">
        <v>4311</v>
      </c>
      <c r="E830" s="2" t="s">
        <v>301</v>
      </c>
      <c r="F830" s="137" t="s">
        <v>4312</v>
      </c>
      <c r="G830" s="137" t="s">
        <v>4313</v>
      </c>
      <c r="H830" s="137" t="s">
        <v>4314</v>
      </c>
      <c r="I830" s="113" t="s">
        <v>292</v>
      </c>
      <c r="J830" s="108" t="str">
        <f t="shared" si="12"/>
        <v>109914</v>
      </c>
    </row>
    <row r="831" spans="1:10" ht="15" customHeight="1" x14ac:dyDescent="0.25">
      <c r="A831" t="str">
        <f>Table1[[#This Row],[District name]]&amp;" "&amp;Table1[[#This Row],[District number]]</f>
        <v>PERRIN-WHITT CISD 119903</v>
      </c>
      <c r="B831" t="s">
        <v>4315</v>
      </c>
      <c r="C831" s="1"/>
      <c r="D831" t="s">
        <v>4316</v>
      </c>
      <c r="E831" s="2" t="s">
        <v>541</v>
      </c>
      <c r="F831" s="137" t="s">
        <v>4317</v>
      </c>
      <c r="G831" s="137" t="s">
        <v>4318</v>
      </c>
      <c r="H831" s="137" t="s">
        <v>4319</v>
      </c>
      <c r="I831" s="113" t="s">
        <v>292</v>
      </c>
      <c r="J831" s="108" t="str">
        <f t="shared" si="12"/>
        <v>119903</v>
      </c>
    </row>
    <row r="832" spans="1:10" ht="15" customHeight="1" x14ac:dyDescent="0.25">
      <c r="A832" t="str">
        <f>Table1[[#This Row],[District name]]&amp;" "&amp;Table1[[#This Row],[District number]]</f>
        <v>PERRYTON ISD 179901</v>
      </c>
      <c r="B832" t="s">
        <v>4320</v>
      </c>
      <c r="C832" s="1"/>
      <c r="D832" t="s">
        <v>4321</v>
      </c>
      <c r="E832" s="2" t="s">
        <v>356</v>
      </c>
      <c r="F832" s="137" t="s">
        <v>2306</v>
      </c>
      <c r="G832" s="137" t="s">
        <v>4322</v>
      </c>
      <c r="H832" s="137" t="s">
        <v>4323</v>
      </c>
      <c r="I832" s="113" t="s">
        <v>292</v>
      </c>
      <c r="J832" s="108" t="str">
        <f t="shared" si="12"/>
        <v>179901</v>
      </c>
    </row>
    <row r="833" spans="1:10" ht="15" customHeight="1" x14ac:dyDescent="0.25">
      <c r="A833" t="str">
        <f>Table1[[#This Row],[District name]]&amp;" "&amp;Table1[[#This Row],[District number]]</f>
        <v>PETERSBURG ISD 095904</v>
      </c>
      <c r="B833" t="s">
        <v>4324</v>
      </c>
      <c r="C833" s="1"/>
      <c r="D833" t="s">
        <v>4325</v>
      </c>
      <c r="E833" s="2" t="s">
        <v>308</v>
      </c>
      <c r="F833" s="137" t="s">
        <v>4326</v>
      </c>
      <c r="G833" s="137" t="s">
        <v>4327</v>
      </c>
      <c r="H833" s="137" t="s">
        <v>4328</v>
      </c>
      <c r="I833" s="113" t="s">
        <v>292</v>
      </c>
      <c r="J833" s="108" t="str">
        <f t="shared" si="12"/>
        <v>095904</v>
      </c>
    </row>
    <row r="834" spans="1:10" ht="15" customHeight="1" x14ac:dyDescent="0.25">
      <c r="A834" t="str">
        <f>Table1[[#This Row],[District name]]&amp;" "&amp;Table1[[#This Row],[District number]]</f>
        <v>PETROLIA CISD 039903</v>
      </c>
      <c r="B834" t="s">
        <v>4329</v>
      </c>
      <c r="C834" s="1"/>
      <c r="D834" t="s">
        <v>4330</v>
      </c>
      <c r="E834" s="2" t="s">
        <v>541</v>
      </c>
      <c r="F834" s="137" t="s">
        <v>4331</v>
      </c>
      <c r="G834" s="137" t="s">
        <v>4332</v>
      </c>
      <c r="H834" s="137" t="s">
        <v>4333</v>
      </c>
      <c r="I834" s="113" t="s">
        <v>292</v>
      </c>
      <c r="J834" s="108" t="str">
        <f t="shared" si="12"/>
        <v>039903</v>
      </c>
    </row>
    <row r="835" spans="1:10" ht="15" customHeight="1" x14ac:dyDescent="0.25">
      <c r="A835" t="str">
        <f>Table1[[#This Row],[District name]]&amp;" "&amp;Table1[[#This Row],[District number]]</f>
        <v>PETTUS ISD 013903</v>
      </c>
      <c r="B835" t="s">
        <v>4334</v>
      </c>
      <c r="C835" s="1"/>
      <c r="D835" t="s">
        <v>4335</v>
      </c>
      <c r="E835" s="2" t="s">
        <v>369</v>
      </c>
      <c r="F835" s="137" t="s">
        <v>4336</v>
      </c>
      <c r="G835" s="137" t="s">
        <v>4337</v>
      </c>
      <c r="H835" s="137" t="s">
        <v>4338</v>
      </c>
      <c r="I835" s="113" t="s">
        <v>292</v>
      </c>
      <c r="J835" s="108" t="str">
        <f t="shared" si="12"/>
        <v>013903</v>
      </c>
    </row>
    <row r="836" spans="1:10" ht="15" customHeight="1" x14ac:dyDescent="0.25">
      <c r="A836" t="str">
        <f>Table1[[#This Row],[District name]]&amp;" "&amp;Table1[[#This Row],[District number]]</f>
        <v>PEWITT CISD 172905</v>
      </c>
      <c r="B836" t="s">
        <v>4339</v>
      </c>
      <c r="C836" s="1"/>
      <c r="D836" t="s">
        <v>4340</v>
      </c>
      <c r="E836" s="2" t="s">
        <v>587</v>
      </c>
      <c r="F836" s="137" t="s">
        <v>4341</v>
      </c>
      <c r="G836" s="137" t="s">
        <v>4342</v>
      </c>
      <c r="H836" s="137" t="s">
        <v>4343</v>
      </c>
      <c r="I836" s="113" t="s">
        <v>292</v>
      </c>
      <c r="J836" s="108" t="str">
        <f t="shared" si="12"/>
        <v>172905</v>
      </c>
    </row>
    <row r="837" spans="1:10" ht="15" customHeight="1" x14ac:dyDescent="0.25">
      <c r="A837" t="str">
        <f>Table1[[#This Row],[District name]]&amp;" "&amp;Table1[[#This Row],[District number]]</f>
        <v>PFLUGERVILLE ISD 227904</v>
      </c>
      <c r="B837" t="s">
        <v>4344</v>
      </c>
      <c r="C837" s="1"/>
      <c r="D837" t="s">
        <v>4345</v>
      </c>
      <c r="E837" s="2" t="s">
        <v>598</v>
      </c>
      <c r="F837" s="137" t="s">
        <v>4346</v>
      </c>
      <c r="G837" s="137" t="s">
        <v>4347</v>
      </c>
      <c r="H837" s="137" t="s">
        <v>4348</v>
      </c>
      <c r="I837" s="113" t="s">
        <v>292</v>
      </c>
      <c r="J837" s="108" t="str">
        <f t="shared" si="12"/>
        <v>227904</v>
      </c>
    </row>
    <row r="838" spans="1:10" ht="15" customHeight="1" x14ac:dyDescent="0.25">
      <c r="A838" t="str">
        <f>Table1[[#This Row],[District name]]&amp;" "&amp;Table1[[#This Row],[District number]]</f>
        <v>PHARR-SAN JUAN-ALAMO ISD 108909</v>
      </c>
      <c r="B838" t="s">
        <v>4349</v>
      </c>
      <c r="C838" s="1"/>
      <c r="D838" t="s">
        <v>4350</v>
      </c>
      <c r="E838" s="2" t="s">
        <v>982</v>
      </c>
      <c r="F838" s="137" t="s">
        <v>4351</v>
      </c>
      <c r="G838" s="137" t="s">
        <v>4352</v>
      </c>
      <c r="H838" s="137" t="s">
        <v>4353</v>
      </c>
      <c r="I838" s="113" t="s">
        <v>292</v>
      </c>
      <c r="J838" s="108" t="str">
        <f t="shared" ref="J838:J901" si="13">LEFT(B838,6)</f>
        <v>108909</v>
      </c>
    </row>
    <row r="839" spans="1:10" ht="15" customHeight="1" x14ac:dyDescent="0.25">
      <c r="A839" t="str">
        <f>Table1[[#This Row],[District name]]&amp;" "&amp;Table1[[#This Row],[District number]]</f>
        <v>PILOT POINT ISD 061903</v>
      </c>
      <c r="B839" t="s">
        <v>4354</v>
      </c>
      <c r="C839" s="1"/>
      <c r="D839" t="s">
        <v>4355</v>
      </c>
      <c r="E839" s="2" t="s">
        <v>402</v>
      </c>
      <c r="F839" s="137" t="s">
        <v>4356</v>
      </c>
      <c r="G839" s="137" t="s">
        <v>4357</v>
      </c>
      <c r="H839" s="137" t="s">
        <v>4358</v>
      </c>
      <c r="I839" s="113" t="s">
        <v>292</v>
      </c>
      <c r="J839" s="108" t="str">
        <f t="shared" si="13"/>
        <v>061903</v>
      </c>
    </row>
    <row r="840" spans="1:10" ht="15" customHeight="1" x14ac:dyDescent="0.25">
      <c r="A840" t="str">
        <f>Table1[[#This Row],[District name]]&amp;" "&amp;Table1[[#This Row],[District number]]</f>
        <v>PINE TREE ISD 092904</v>
      </c>
      <c r="B840" t="s">
        <v>4359</v>
      </c>
      <c r="C840" s="1"/>
      <c r="D840" t="s">
        <v>4360</v>
      </c>
      <c r="E840" s="2" t="s">
        <v>383</v>
      </c>
      <c r="F840" s="137" t="s">
        <v>4361</v>
      </c>
      <c r="G840" s="137" t="s">
        <v>4362</v>
      </c>
      <c r="H840" s="137" t="s">
        <v>4363</v>
      </c>
      <c r="I840" s="113" t="s">
        <v>292</v>
      </c>
      <c r="J840" s="108" t="str">
        <f t="shared" si="13"/>
        <v>092904</v>
      </c>
    </row>
    <row r="841" spans="1:10" ht="15" customHeight="1" x14ac:dyDescent="0.25">
      <c r="A841" t="str">
        <f>Table1[[#This Row],[District name]]&amp;" "&amp;Table1[[#This Row],[District number]]</f>
        <v>PINEYWOODS COMMUNITY ACADEMY 003801</v>
      </c>
      <c r="B841" t="s">
        <v>4364</v>
      </c>
      <c r="C841" s="1"/>
      <c r="D841" t="s">
        <v>4365</v>
      </c>
      <c r="E841" s="2" t="s">
        <v>383</v>
      </c>
      <c r="F841" s="137" t="s">
        <v>4366</v>
      </c>
      <c r="G841" s="137" t="s">
        <v>4367</v>
      </c>
      <c r="H841" s="137" t="s">
        <v>4368</v>
      </c>
      <c r="I841" s="113" t="s">
        <v>292</v>
      </c>
      <c r="J841" s="108" t="str">
        <f t="shared" si="13"/>
        <v>003801</v>
      </c>
    </row>
    <row r="842" spans="1:10" ht="15" customHeight="1" x14ac:dyDescent="0.25">
      <c r="A842" t="str">
        <f>Table1[[#This Row],[District name]]&amp;" "&amp;Table1[[#This Row],[District number]]</f>
        <v>PIONEER TECHNOLOGY &amp; ARTS ACADEMY 057850</v>
      </c>
      <c r="B842" t="s">
        <v>4369</v>
      </c>
      <c r="C842" s="1"/>
      <c r="D842" t="s">
        <v>4370</v>
      </c>
      <c r="E842" s="2" t="s">
        <v>288</v>
      </c>
      <c r="F842" s="137" t="s">
        <v>4371</v>
      </c>
      <c r="G842" s="137" t="s">
        <v>4372</v>
      </c>
      <c r="H842" s="137" t="s">
        <v>4373</v>
      </c>
      <c r="I842" s="113" t="s">
        <v>292</v>
      </c>
      <c r="J842" s="108" t="str">
        <f t="shared" si="13"/>
        <v>057850</v>
      </c>
    </row>
    <row r="843" spans="1:10" ht="15" customHeight="1" x14ac:dyDescent="0.25">
      <c r="A843" t="str">
        <f>Table1[[#This Row],[District name]]&amp;" "&amp;Table1[[#This Row],[District number]]</f>
        <v>PITTSBURG ISD 032902</v>
      </c>
      <c r="B843" t="s">
        <v>4374</v>
      </c>
      <c r="C843" s="1"/>
      <c r="D843" t="s">
        <v>4375</v>
      </c>
      <c r="E843" s="2" t="s">
        <v>587</v>
      </c>
      <c r="F843" s="137" t="s">
        <v>4376</v>
      </c>
      <c r="G843" s="137" t="s">
        <v>4377</v>
      </c>
      <c r="H843" s="137" t="s">
        <v>4378</v>
      </c>
      <c r="I843" s="113" t="s">
        <v>292</v>
      </c>
      <c r="J843" s="108" t="str">
        <f t="shared" si="13"/>
        <v>032902</v>
      </c>
    </row>
    <row r="844" spans="1:10" ht="15" customHeight="1" x14ac:dyDescent="0.25">
      <c r="A844" t="str">
        <f>Table1[[#This Row],[District name]]&amp;" "&amp;Table1[[#This Row],[District number]]</f>
        <v>PLAINS ISD 251902</v>
      </c>
      <c r="B844" t="s">
        <v>4379</v>
      </c>
      <c r="C844" s="1"/>
      <c r="D844" t="s">
        <v>4380</v>
      </c>
      <c r="E844" s="2" t="s">
        <v>308</v>
      </c>
      <c r="F844" s="137" t="s">
        <v>4381</v>
      </c>
      <c r="G844" s="137" t="s">
        <v>4382</v>
      </c>
      <c r="H844" s="137" t="s">
        <v>4383</v>
      </c>
      <c r="I844" s="113" t="s">
        <v>292</v>
      </c>
      <c r="J844" s="108" t="str">
        <f t="shared" si="13"/>
        <v>251902</v>
      </c>
    </row>
    <row r="845" spans="1:10" ht="15" customHeight="1" x14ac:dyDescent="0.25">
      <c r="A845" t="str">
        <f>Table1[[#This Row],[District name]]&amp;" "&amp;Table1[[#This Row],[District number]]</f>
        <v>PLAINVIEW ISD 095905</v>
      </c>
      <c r="B845" t="s">
        <v>4384</v>
      </c>
      <c r="C845" s="1"/>
      <c r="D845" t="s">
        <v>4385</v>
      </c>
      <c r="E845" s="2" t="s">
        <v>308</v>
      </c>
      <c r="F845" s="137" t="s">
        <v>4386</v>
      </c>
      <c r="G845" s="137" t="s">
        <v>4387</v>
      </c>
      <c r="H845" s="137" t="s">
        <v>4388</v>
      </c>
      <c r="I845" s="113" t="s">
        <v>292</v>
      </c>
      <c r="J845" s="108" t="str">
        <f t="shared" si="13"/>
        <v>095905</v>
      </c>
    </row>
    <row r="846" spans="1:10" ht="15" customHeight="1" x14ac:dyDescent="0.25">
      <c r="A846" t="str">
        <f>Table1[[#This Row],[District name]]&amp;" "&amp;Table1[[#This Row],[District number]]</f>
        <v>PLANO ISD 043910</v>
      </c>
      <c r="B846" t="s">
        <v>4389</v>
      </c>
      <c r="C846" s="1"/>
      <c r="D846" t="s">
        <v>4390</v>
      </c>
      <c r="E846" s="2" t="s">
        <v>288</v>
      </c>
      <c r="F846" s="137" t="s">
        <v>4391</v>
      </c>
      <c r="G846" s="137" t="s">
        <v>4392</v>
      </c>
      <c r="H846" s="137" t="s">
        <v>4393</v>
      </c>
      <c r="I846" s="113" t="s">
        <v>292</v>
      </c>
      <c r="J846" s="108" t="str">
        <f t="shared" si="13"/>
        <v>043910</v>
      </c>
    </row>
    <row r="847" spans="1:10" ht="15" customHeight="1" x14ac:dyDescent="0.25">
      <c r="A847" t="str">
        <f>Table1[[#This Row],[District name]]&amp;" "&amp;Table1[[#This Row],[District number]]</f>
        <v>PLEASANT GROVE ISD 019912</v>
      </c>
      <c r="B847" t="s">
        <v>4394</v>
      </c>
      <c r="C847" s="1"/>
      <c r="D847" t="s">
        <v>4395</v>
      </c>
      <c r="E847" s="2" t="s">
        <v>587</v>
      </c>
      <c r="F847" s="137" t="s">
        <v>4396</v>
      </c>
      <c r="G847" s="137" t="s">
        <v>4397</v>
      </c>
      <c r="H847" s="137" t="s">
        <v>4398</v>
      </c>
      <c r="I847" s="113" t="s">
        <v>292</v>
      </c>
      <c r="J847" s="108" t="str">
        <f t="shared" si="13"/>
        <v>019912</v>
      </c>
    </row>
    <row r="848" spans="1:10" ht="15" customHeight="1" x14ac:dyDescent="0.25">
      <c r="A848" t="str">
        <f>Table1[[#This Row],[District name]]&amp;" "&amp;Table1[[#This Row],[District number]]</f>
        <v>PLEASANTON ISD 007905</v>
      </c>
      <c r="B848" t="s">
        <v>4399</v>
      </c>
      <c r="C848" s="1"/>
      <c r="D848" t="s">
        <v>4400</v>
      </c>
      <c r="E848" s="2" t="s">
        <v>376</v>
      </c>
      <c r="F848" s="137" t="s">
        <v>757</v>
      </c>
      <c r="G848" s="137" t="s">
        <v>4401</v>
      </c>
      <c r="H848" s="137" t="s">
        <v>4402</v>
      </c>
      <c r="I848" s="113" t="s">
        <v>292</v>
      </c>
      <c r="J848" s="108" t="str">
        <f t="shared" si="13"/>
        <v>007905</v>
      </c>
    </row>
    <row r="849" spans="1:10" ht="15" customHeight="1" x14ac:dyDescent="0.25">
      <c r="A849" t="str">
        <f>Table1[[#This Row],[District name]]&amp;" "&amp;Table1[[#This Row],[District number]]</f>
        <v>PLEMONS-STINNETT-PHILLIPS CISD 117904</v>
      </c>
      <c r="B849" t="s">
        <v>4403</v>
      </c>
      <c r="C849" s="1"/>
      <c r="D849" t="s">
        <v>4404</v>
      </c>
      <c r="E849" s="2" t="s">
        <v>356</v>
      </c>
      <c r="F849" s="137" t="s">
        <v>315</v>
      </c>
      <c r="G849" s="137" t="s">
        <v>4405</v>
      </c>
      <c r="H849" s="137" t="s">
        <v>4406</v>
      </c>
      <c r="I849" s="113" t="s">
        <v>292</v>
      </c>
      <c r="J849" s="108" t="str">
        <f t="shared" si="13"/>
        <v>117904</v>
      </c>
    </row>
    <row r="850" spans="1:10" ht="15" customHeight="1" x14ac:dyDescent="0.25">
      <c r="A850" t="str">
        <f>Table1[[#This Row],[District name]]&amp;" "&amp;Table1[[#This Row],[District number]]</f>
        <v>POINT ISABEL ISD 031909</v>
      </c>
      <c r="B850" t="s">
        <v>4407</v>
      </c>
      <c r="C850" s="1"/>
      <c r="D850" t="s">
        <v>4408</v>
      </c>
      <c r="E850" s="2" t="s">
        <v>982</v>
      </c>
      <c r="F850" s="137" t="s">
        <v>4409</v>
      </c>
      <c r="G850" s="137" t="s">
        <v>4410</v>
      </c>
      <c r="H850" s="137" t="s">
        <v>4411</v>
      </c>
      <c r="I850" s="113" t="s">
        <v>292</v>
      </c>
      <c r="J850" s="108" t="str">
        <f t="shared" si="13"/>
        <v>031909</v>
      </c>
    </row>
    <row r="851" spans="1:10" ht="15" customHeight="1" x14ac:dyDescent="0.25">
      <c r="A851" t="str">
        <f>Table1[[#This Row],[District name]]&amp;" "&amp;Table1[[#This Row],[District number]]</f>
        <v>PONDER ISD 061906</v>
      </c>
      <c r="B851" t="s">
        <v>4412</v>
      </c>
      <c r="C851" s="1"/>
      <c r="D851" t="s">
        <v>4413</v>
      </c>
      <c r="E851" s="2" t="s">
        <v>402</v>
      </c>
      <c r="F851" s="137" t="s">
        <v>2913</v>
      </c>
      <c r="G851" s="137" t="s">
        <v>4414</v>
      </c>
      <c r="H851" s="137" t="s">
        <v>4415</v>
      </c>
      <c r="I851" s="113" t="s">
        <v>292</v>
      </c>
      <c r="J851" s="108" t="str">
        <f t="shared" si="13"/>
        <v>061906</v>
      </c>
    </row>
    <row r="852" spans="1:10" ht="15" customHeight="1" x14ac:dyDescent="0.25">
      <c r="A852" t="str">
        <f>Table1[[#This Row],[District name]]&amp;" "&amp;Table1[[#This Row],[District number]]</f>
        <v>POOLVILLE ISD 184901</v>
      </c>
      <c r="B852" t="s">
        <v>4416</v>
      </c>
      <c r="C852" s="1"/>
      <c r="D852" t="s">
        <v>4417</v>
      </c>
      <c r="E852" s="2" t="s">
        <v>402</v>
      </c>
      <c r="F852" s="137" t="s">
        <v>4418</v>
      </c>
      <c r="G852" s="137" t="s">
        <v>4419</v>
      </c>
      <c r="H852" s="137" t="s">
        <v>4420</v>
      </c>
      <c r="I852" s="113" t="s">
        <v>292</v>
      </c>
      <c r="J852" s="108" t="str">
        <f t="shared" si="13"/>
        <v>184901</v>
      </c>
    </row>
    <row r="853" spans="1:10" ht="15" customHeight="1" x14ac:dyDescent="0.25">
      <c r="A853" t="str">
        <f>Table1[[#This Row],[District name]]&amp;" "&amp;Table1[[#This Row],[District number]]</f>
        <v>POR VIDA ACADEMY 015801</v>
      </c>
      <c r="B853" t="s">
        <v>4421</v>
      </c>
      <c r="C853" s="1"/>
      <c r="D853" t="s">
        <v>4422</v>
      </c>
      <c r="E853" s="2" t="s">
        <v>376</v>
      </c>
      <c r="F853" s="137" t="s">
        <v>4423</v>
      </c>
      <c r="G853" s="137" t="s">
        <v>1240</v>
      </c>
      <c r="H853" s="137" t="s">
        <v>4424</v>
      </c>
      <c r="I853" s="113" t="s">
        <v>292</v>
      </c>
      <c r="J853" s="108" t="str">
        <f t="shared" si="13"/>
        <v>015801</v>
      </c>
    </row>
    <row r="854" spans="1:10" ht="15" customHeight="1" x14ac:dyDescent="0.25">
      <c r="A854" t="str">
        <f>Table1[[#This Row],[District name]]&amp;" "&amp;Table1[[#This Row],[District number]]</f>
        <v>PORT ARANSAS ISD 178908</v>
      </c>
      <c r="B854" t="s">
        <v>4425</v>
      </c>
      <c r="C854" s="1"/>
      <c r="D854" t="s">
        <v>4426</v>
      </c>
      <c r="E854" s="2" t="s">
        <v>369</v>
      </c>
      <c r="F854" s="137" t="s">
        <v>4427</v>
      </c>
      <c r="G854" s="137" t="s">
        <v>4428</v>
      </c>
      <c r="H854" s="137" t="s">
        <v>4429</v>
      </c>
      <c r="I854" s="113" t="s">
        <v>292</v>
      </c>
      <c r="J854" s="108" t="str">
        <f t="shared" si="13"/>
        <v>178908</v>
      </c>
    </row>
    <row r="855" spans="1:10" ht="15" customHeight="1" x14ac:dyDescent="0.25">
      <c r="A855" t="str">
        <f>Table1[[#This Row],[District name]]&amp;" "&amp;Table1[[#This Row],[District number]]</f>
        <v>PORT ARTHUR ISD 123907</v>
      </c>
      <c r="B855" t="s">
        <v>4430</v>
      </c>
      <c r="C855" s="1"/>
      <c r="D855" t="s">
        <v>4431</v>
      </c>
      <c r="E855" s="2" t="s">
        <v>706</v>
      </c>
      <c r="F855" s="137" t="s">
        <v>4432</v>
      </c>
      <c r="G855" s="137" t="s">
        <v>4433</v>
      </c>
      <c r="H855" s="137" t="s">
        <v>4434</v>
      </c>
      <c r="I855" s="113" t="s">
        <v>292</v>
      </c>
      <c r="J855" s="108" t="str">
        <f t="shared" si="13"/>
        <v>123907</v>
      </c>
    </row>
    <row r="856" spans="1:10" ht="15" customHeight="1" x14ac:dyDescent="0.25">
      <c r="A856" t="str">
        <f>Table1[[#This Row],[District name]]&amp;" "&amp;Table1[[#This Row],[District number]]</f>
        <v>PORT NECHES-GROVES ISD 123908</v>
      </c>
      <c r="B856" t="s">
        <v>4435</v>
      </c>
      <c r="C856" s="1"/>
      <c r="D856" t="s">
        <v>4436</v>
      </c>
      <c r="E856" s="2" t="s">
        <v>706</v>
      </c>
      <c r="F856" s="137" t="s">
        <v>4437</v>
      </c>
      <c r="G856" s="137" t="s">
        <v>4438</v>
      </c>
      <c r="H856" s="137" t="s">
        <v>4439</v>
      </c>
      <c r="I856" s="113" t="s">
        <v>292</v>
      </c>
      <c r="J856" s="108" t="str">
        <f t="shared" si="13"/>
        <v>123908</v>
      </c>
    </row>
    <row r="857" spans="1:10" ht="15" customHeight="1" x14ac:dyDescent="0.25">
      <c r="A857" t="str">
        <f>Table1[[#This Row],[District name]]&amp;" "&amp;Table1[[#This Row],[District number]]</f>
        <v>POSITIVE SOLUTIONS CHARTER SCHOOL 015814</v>
      </c>
      <c r="B857" t="s">
        <v>4440</v>
      </c>
      <c r="C857" s="1"/>
      <c r="D857" t="s">
        <v>4441</v>
      </c>
      <c r="E857" s="2" t="s">
        <v>376</v>
      </c>
      <c r="F857" s="137" t="s">
        <v>4442</v>
      </c>
      <c r="G857" s="137" t="s">
        <v>4443</v>
      </c>
      <c r="H857" s="137" t="s">
        <v>4444</v>
      </c>
      <c r="I857" s="113" t="s">
        <v>292</v>
      </c>
      <c r="J857" s="108" t="str">
        <f t="shared" si="13"/>
        <v>015814</v>
      </c>
    </row>
    <row r="858" spans="1:10" ht="15" customHeight="1" x14ac:dyDescent="0.25">
      <c r="A858" t="str">
        <f>Table1[[#This Row],[District name]]&amp;" "&amp;Table1[[#This Row],[District number]]</f>
        <v>POST ISD 085902</v>
      </c>
      <c r="B858" t="s">
        <v>4445</v>
      </c>
      <c r="C858" s="1"/>
      <c r="D858" t="s">
        <v>4446</v>
      </c>
      <c r="E858" s="2" t="s">
        <v>308</v>
      </c>
      <c r="F858" s="137" t="s">
        <v>4447</v>
      </c>
      <c r="G858" s="137" t="s">
        <v>4448</v>
      </c>
      <c r="H858" s="137" t="s">
        <v>4449</v>
      </c>
      <c r="I858" s="113" t="s">
        <v>292</v>
      </c>
      <c r="J858" s="108" t="str">
        <f t="shared" si="13"/>
        <v>085902</v>
      </c>
    </row>
    <row r="859" spans="1:10" ht="15" customHeight="1" x14ac:dyDescent="0.25">
      <c r="A859" t="str">
        <f>Table1[[#This Row],[District name]]&amp;" "&amp;Table1[[#This Row],[District number]]</f>
        <v>POTEET ISD 007906</v>
      </c>
      <c r="B859" t="s">
        <v>4450</v>
      </c>
      <c r="C859" s="1"/>
      <c r="D859" t="s">
        <v>4451</v>
      </c>
      <c r="E859" s="2" t="s">
        <v>376</v>
      </c>
      <c r="F859" s="137" t="s">
        <v>4452</v>
      </c>
      <c r="G859" s="137" t="s">
        <v>4453</v>
      </c>
      <c r="H859" s="137" t="s">
        <v>4454</v>
      </c>
      <c r="I859" s="113" t="s">
        <v>292</v>
      </c>
      <c r="J859" s="108" t="str">
        <f t="shared" si="13"/>
        <v>007906</v>
      </c>
    </row>
    <row r="860" spans="1:10" ht="15" customHeight="1" x14ac:dyDescent="0.25">
      <c r="A860" t="str">
        <f>Table1[[#This Row],[District name]]&amp;" "&amp;Table1[[#This Row],[District number]]</f>
        <v>POTH ISD 247904</v>
      </c>
      <c r="B860" t="s">
        <v>4455</v>
      </c>
      <c r="C860" s="1"/>
      <c r="D860" t="s">
        <v>4456</v>
      </c>
      <c r="E860" s="2" t="s">
        <v>376</v>
      </c>
      <c r="F860" s="137" t="s">
        <v>4457</v>
      </c>
      <c r="G860" s="137" t="s">
        <v>4458</v>
      </c>
      <c r="H860" s="137" t="s">
        <v>4459</v>
      </c>
      <c r="I860" s="113" t="s">
        <v>292</v>
      </c>
      <c r="J860" s="108" t="str">
        <f t="shared" si="13"/>
        <v>247904</v>
      </c>
    </row>
    <row r="861" spans="1:10" ht="15" customHeight="1" x14ac:dyDescent="0.25">
      <c r="A861" t="str">
        <f>Table1[[#This Row],[District name]]&amp;" "&amp;Table1[[#This Row],[District number]]</f>
        <v>POTTSBORO ISD 091913</v>
      </c>
      <c r="B861" t="s">
        <v>4460</v>
      </c>
      <c r="C861" s="1"/>
      <c r="D861" t="s">
        <v>4461</v>
      </c>
      <c r="E861" s="2" t="s">
        <v>288</v>
      </c>
      <c r="F861" s="137" t="s">
        <v>4462</v>
      </c>
      <c r="G861" s="137" t="s">
        <v>2769</v>
      </c>
      <c r="H861" s="137" t="s">
        <v>4463</v>
      </c>
      <c r="I861" s="113" t="s">
        <v>292</v>
      </c>
      <c r="J861" s="108" t="str">
        <f t="shared" si="13"/>
        <v>091913</v>
      </c>
    </row>
    <row r="862" spans="1:10" ht="15" customHeight="1" x14ac:dyDescent="0.25">
      <c r="A862" t="str">
        <f>Table1[[#This Row],[District name]]&amp;" "&amp;Table1[[#This Row],[District number]]</f>
        <v>PRAIRIE LEA ISD 028906</v>
      </c>
      <c r="B862" t="s">
        <v>4464</v>
      </c>
      <c r="C862" s="1"/>
      <c r="D862" t="s">
        <v>4465</v>
      </c>
      <c r="E862" s="2" t="s">
        <v>598</v>
      </c>
      <c r="F862" s="137" t="s">
        <v>4466</v>
      </c>
      <c r="G862" s="137" t="s">
        <v>4467</v>
      </c>
      <c r="H862" s="137" t="s">
        <v>4468</v>
      </c>
      <c r="I862" s="113" t="s">
        <v>292</v>
      </c>
      <c r="J862" s="108" t="str">
        <f t="shared" si="13"/>
        <v>028906</v>
      </c>
    </row>
    <row r="863" spans="1:10" ht="15" customHeight="1" x14ac:dyDescent="0.25">
      <c r="A863" t="str">
        <f>Table1[[#This Row],[District name]]&amp;" "&amp;Table1[[#This Row],[District number]]</f>
        <v>PRAIRIE VALLEY ISD 169909</v>
      </c>
      <c r="B863" t="s">
        <v>4469</v>
      </c>
      <c r="C863" s="1"/>
      <c r="D863" t="s">
        <v>4470</v>
      </c>
      <c r="E863" s="2" t="s">
        <v>541</v>
      </c>
      <c r="F863" s="137" t="s">
        <v>4471</v>
      </c>
      <c r="G863" s="137" t="s">
        <v>4472</v>
      </c>
      <c r="H863" s="137" t="s">
        <v>4473</v>
      </c>
      <c r="I863" s="113" t="s">
        <v>292</v>
      </c>
      <c r="J863" s="108" t="str">
        <f t="shared" si="13"/>
        <v>169909</v>
      </c>
    </row>
    <row r="864" spans="1:10" ht="15" customHeight="1" x14ac:dyDescent="0.25">
      <c r="A864" t="str">
        <f>Table1[[#This Row],[District name]]&amp;" "&amp;Table1[[#This Row],[District number]]</f>
        <v>PRAIRILAND ISD 139912</v>
      </c>
      <c r="B864" t="s">
        <v>4474</v>
      </c>
      <c r="C864" s="1"/>
      <c r="D864" t="s">
        <v>4475</v>
      </c>
      <c r="E864" s="2" t="s">
        <v>587</v>
      </c>
      <c r="F864" s="137" t="s">
        <v>3487</v>
      </c>
      <c r="G864" s="137" t="s">
        <v>4476</v>
      </c>
      <c r="H864" s="137" t="s">
        <v>4477</v>
      </c>
      <c r="I864" s="113" t="s">
        <v>292</v>
      </c>
      <c r="J864" s="108" t="str">
        <f t="shared" si="13"/>
        <v>139912</v>
      </c>
    </row>
    <row r="865" spans="1:10" ht="15" customHeight="1" x14ac:dyDescent="0.25">
      <c r="A865" t="str">
        <f>Table1[[#This Row],[District name]]&amp;" "&amp;Table1[[#This Row],[District number]]</f>
        <v>PRELUDE PREPARATORY CHARTER SCHOOL 015843</v>
      </c>
      <c r="B865" t="s">
        <v>4478</v>
      </c>
      <c r="C865" s="1"/>
      <c r="D865" t="s">
        <v>4479</v>
      </c>
      <c r="E865" s="2" t="s">
        <v>376</v>
      </c>
      <c r="F865" s="137" t="s">
        <v>4480</v>
      </c>
      <c r="G865" s="137" t="s">
        <v>4481</v>
      </c>
      <c r="H865" s="137" t="s">
        <v>4482</v>
      </c>
      <c r="I865" s="113" t="s">
        <v>292</v>
      </c>
      <c r="J865" s="108" t="str">
        <f t="shared" si="13"/>
        <v>015843</v>
      </c>
    </row>
    <row r="866" spans="1:10" ht="15" customHeight="1" x14ac:dyDescent="0.25">
      <c r="A866" t="str">
        <f>Table1[[#This Row],[District name]]&amp;" "&amp;Table1[[#This Row],[District number]]</f>
        <v>PREMIER HIGH SCHOOLS 072801</v>
      </c>
      <c r="B866" t="s">
        <v>4483</v>
      </c>
      <c r="C866" s="1"/>
      <c r="D866" t="s">
        <v>4484</v>
      </c>
      <c r="E866" s="2" t="s">
        <v>402</v>
      </c>
      <c r="F866" s="137" t="s">
        <v>4485</v>
      </c>
      <c r="G866" s="137" t="s">
        <v>4486</v>
      </c>
      <c r="H866" s="137" t="s">
        <v>4487</v>
      </c>
      <c r="I866" s="113" t="s">
        <v>292</v>
      </c>
      <c r="J866" s="108" t="str">
        <f t="shared" si="13"/>
        <v>072801</v>
      </c>
    </row>
    <row r="867" spans="1:10" ht="15" customHeight="1" x14ac:dyDescent="0.25">
      <c r="A867" t="str">
        <f>Table1[[#This Row],[District name]]&amp;" "&amp;Table1[[#This Row],[District number]]</f>
        <v>PREMONT ISD 125905</v>
      </c>
      <c r="B867" t="s">
        <v>4488</v>
      </c>
      <c r="C867" s="1"/>
      <c r="D867" t="s">
        <v>4489</v>
      </c>
      <c r="E867" s="2" t="s">
        <v>369</v>
      </c>
      <c r="F867" s="137" t="s">
        <v>1369</v>
      </c>
      <c r="G867" s="137" t="s">
        <v>1370</v>
      </c>
      <c r="H867" s="137" t="s">
        <v>1371</v>
      </c>
      <c r="I867" s="113" t="s">
        <v>292</v>
      </c>
      <c r="J867" s="108" t="str">
        <f t="shared" si="13"/>
        <v>125905</v>
      </c>
    </row>
    <row r="868" spans="1:10" ht="15" customHeight="1" x14ac:dyDescent="0.25">
      <c r="A868" t="str">
        <f>Table1[[#This Row],[District name]]&amp;" "&amp;Table1[[#This Row],[District number]]</f>
        <v>PRESIDIO ISD 189902</v>
      </c>
      <c r="B868" t="s">
        <v>4490</v>
      </c>
      <c r="C868" s="1"/>
      <c r="D868" t="s">
        <v>4491</v>
      </c>
      <c r="E868" s="2" t="s">
        <v>430</v>
      </c>
      <c r="F868" s="137" t="s">
        <v>4492</v>
      </c>
      <c r="G868" s="137" t="s">
        <v>4493</v>
      </c>
      <c r="H868" s="137" t="s">
        <v>4494</v>
      </c>
      <c r="I868" s="113" t="s">
        <v>292</v>
      </c>
      <c r="J868" s="108" t="str">
        <f t="shared" si="13"/>
        <v>189902</v>
      </c>
    </row>
    <row r="869" spans="1:10" ht="15" customHeight="1" x14ac:dyDescent="0.25">
      <c r="A869" t="str">
        <f>Table1[[#This Row],[District name]]&amp;" "&amp;Table1[[#This Row],[District number]]</f>
        <v>PRIDDY ISD 167904</v>
      </c>
      <c r="B869" t="s">
        <v>4495</v>
      </c>
      <c r="C869" s="1"/>
      <c r="D869" t="s">
        <v>4496</v>
      </c>
      <c r="E869" s="2" t="s">
        <v>301</v>
      </c>
      <c r="F869" s="137" t="s">
        <v>4497</v>
      </c>
      <c r="G869" s="137" t="s">
        <v>4498</v>
      </c>
      <c r="H869" s="137" t="s">
        <v>4499</v>
      </c>
      <c r="I869" s="113" t="s">
        <v>292</v>
      </c>
      <c r="J869" s="108" t="str">
        <f t="shared" si="13"/>
        <v>167904</v>
      </c>
    </row>
    <row r="870" spans="1:10" ht="15" customHeight="1" x14ac:dyDescent="0.25">
      <c r="A870" t="str">
        <f>Table1[[#This Row],[District name]]&amp;" "&amp;Table1[[#This Row],[District number]]</f>
        <v>PRINCETON ISD 043911</v>
      </c>
      <c r="B870" t="s">
        <v>4500</v>
      </c>
      <c r="C870" s="1"/>
      <c r="D870" t="s">
        <v>4501</v>
      </c>
      <c r="E870" s="2" t="s">
        <v>288</v>
      </c>
      <c r="F870" s="137" t="s">
        <v>4502</v>
      </c>
      <c r="G870" s="137" t="s">
        <v>4503</v>
      </c>
      <c r="H870" s="137" t="s">
        <v>4504</v>
      </c>
      <c r="I870" s="113" t="s">
        <v>292</v>
      </c>
      <c r="J870" s="108" t="str">
        <f t="shared" si="13"/>
        <v>043911</v>
      </c>
    </row>
    <row r="871" spans="1:10" ht="15" customHeight="1" x14ac:dyDescent="0.25">
      <c r="A871" t="str">
        <f>Table1[[#This Row],[District name]]&amp;" "&amp;Table1[[#This Row],[District number]]</f>
        <v>PRINGLE-MORSE CISD 098903</v>
      </c>
      <c r="B871" t="s">
        <v>4505</v>
      </c>
      <c r="C871" s="1"/>
      <c r="D871" t="s">
        <v>4506</v>
      </c>
      <c r="E871" s="2" t="s">
        <v>356</v>
      </c>
      <c r="F871" s="137" t="s">
        <v>4507</v>
      </c>
      <c r="G871" s="137" t="s">
        <v>4508</v>
      </c>
      <c r="H871" s="137" t="s">
        <v>4509</v>
      </c>
      <c r="I871" s="113" t="s">
        <v>292</v>
      </c>
      <c r="J871" s="108" t="str">
        <f t="shared" si="13"/>
        <v>098903</v>
      </c>
    </row>
    <row r="872" spans="1:10" ht="15" customHeight="1" x14ac:dyDescent="0.25">
      <c r="A872" t="str">
        <f>Table1[[#This Row],[District name]]&amp;" "&amp;Table1[[#This Row],[District number]]</f>
        <v>PRIORITY CHARTER SCHOOLS 014803</v>
      </c>
      <c r="B872" t="s">
        <v>4510</v>
      </c>
      <c r="C872" s="1"/>
      <c r="D872" t="s">
        <v>4511</v>
      </c>
      <c r="E872" s="2" t="s">
        <v>301</v>
      </c>
      <c r="F872" s="137" t="s">
        <v>4512</v>
      </c>
      <c r="G872" s="137" t="s">
        <v>4513</v>
      </c>
      <c r="H872" s="137" t="s">
        <v>4514</v>
      </c>
      <c r="I872" s="113" t="s">
        <v>292</v>
      </c>
      <c r="J872" s="108" t="str">
        <f t="shared" si="13"/>
        <v>014803</v>
      </c>
    </row>
    <row r="873" spans="1:10" ht="15" customHeight="1" x14ac:dyDescent="0.25">
      <c r="A873" t="str">
        <f>Table1[[#This Row],[District name]]&amp;" "&amp;Table1[[#This Row],[District number]]</f>
        <v>PROGRESO ISD 108910</v>
      </c>
      <c r="B873" t="s">
        <v>4515</v>
      </c>
      <c r="C873" s="1"/>
      <c r="D873" t="s">
        <v>4516</v>
      </c>
      <c r="E873" s="2" t="s">
        <v>982</v>
      </c>
      <c r="F873" s="137" t="s">
        <v>4517</v>
      </c>
      <c r="G873" s="137" t="s">
        <v>4518</v>
      </c>
      <c r="H873" s="137" t="s">
        <v>4519</v>
      </c>
      <c r="I873" s="113" t="s">
        <v>292</v>
      </c>
      <c r="J873" s="108" t="str">
        <f t="shared" si="13"/>
        <v>108910</v>
      </c>
    </row>
    <row r="874" spans="1:10" ht="15" customHeight="1" x14ac:dyDescent="0.25">
      <c r="A874" t="str">
        <f>Table1[[#This Row],[District name]]&amp;" "&amp;Table1[[#This Row],[District number]]</f>
        <v>PROMESA ACADEMY CHARTER SCHOOL 015839</v>
      </c>
      <c r="B874" t="s">
        <v>4520</v>
      </c>
      <c r="C874" s="1"/>
      <c r="D874" t="s">
        <v>4521</v>
      </c>
      <c r="E874" s="2" t="s">
        <v>376</v>
      </c>
      <c r="F874" s="137" t="s">
        <v>4522</v>
      </c>
      <c r="G874" s="137" t="s">
        <v>4523</v>
      </c>
      <c r="H874" s="137" t="s">
        <v>4524</v>
      </c>
      <c r="I874" s="113" t="s">
        <v>292</v>
      </c>
      <c r="J874" s="108" t="str">
        <f t="shared" si="13"/>
        <v>015839</v>
      </c>
    </row>
    <row r="875" spans="1:10" ht="15" customHeight="1" x14ac:dyDescent="0.25">
      <c r="A875" t="str">
        <f>Table1[[#This Row],[District name]]&amp;" "&amp;Table1[[#This Row],[District number]]</f>
        <v>PROMISE COMMUNITY SCHOOL 101853</v>
      </c>
      <c r="B875" t="s">
        <v>4525</v>
      </c>
      <c r="C875" s="1"/>
      <c r="D875" t="s">
        <v>4526</v>
      </c>
      <c r="E875" s="2" t="s">
        <v>295</v>
      </c>
      <c r="F875" s="137" t="s">
        <v>4527</v>
      </c>
      <c r="G875" s="137" t="s">
        <v>4528</v>
      </c>
      <c r="H875" s="137" t="s">
        <v>4529</v>
      </c>
      <c r="I875" s="113" t="s">
        <v>292</v>
      </c>
      <c r="J875" s="108" t="str">
        <f t="shared" si="13"/>
        <v>101853</v>
      </c>
    </row>
    <row r="876" spans="1:10" ht="15" customHeight="1" x14ac:dyDescent="0.25">
      <c r="A876" t="str">
        <f>Table1[[#This Row],[District name]]&amp;" "&amp;Table1[[#This Row],[District number]]</f>
        <v>PROSPER ISD 043912</v>
      </c>
      <c r="B876" t="s">
        <v>4530</v>
      </c>
      <c r="C876" s="1"/>
      <c r="D876" t="s">
        <v>4531</v>
      </c>
      <c r="E876" s="2" t="s">
        <v>288</v>
      </c>
      <c r="F876" s="137" t="s">
        <v>4532</v>
      </c>
      <c r="G876" s="137" t="s">
        <v>4533</v>
      </c>
      <c r="H876" s="137" t="s">
        <v>4534</v>
      </c>
      <c r="I876" s="113" t="s">
        <v>292</v>
      </c>
      <c r="J876" s="108" t="str">
        <f t="shared" si="13"/>
        <v>043912</v>
      </c>
    </row>
    <row r="877" spans="1:10" ht="15" customHeight="1" x14ac:dyDescent="0.25">
      <c r="A877" t="str">
        <f>Table1[[#This Row],[District name]]&amp;" "&amp;Table1[[#This Row],[District number]]</f>
        <v>QUANAH ISD 099903</v>
      </c>
      <c r="B877" t="s">
        <v>4535</v>
      </c>
      <c r="C877" s="1"/>
      <c r="D877" t="s">
        <v>4536</v>
      </c>
      <c r="E877" s="2" t="s">
        <v>541</v>
      </c>
      <c r="F877" s="137" t="s">
        <v>4537</v>
      </c>
      <c r="G877" s="137" t="s">
        <v>4538</v>
      </c>
      <c r="H877" s="137" t="s">
        <v>4539</v>
      </c>
      <c r="I877" s="113" t="s">
        <v>292</v>
      </c>
      <c r="J877" s="108" t="str">
        <f t="shared" si="13"/>
        <v>099903</v>
      </c>
    </row>
    <row r="878" spans="1:10" ht="15" customHeight="1" x14ac:dyDescent="0.25">
      <c r="A878" t="str">
        <f>Table1[[#This Row],[District name]]&amp;" "&amp;Table1[[#This Row],[District number]]</f>
        <v>QUEEN CITY ISD 034907</v>
      </c>
      <c r="B878" t="s">
        <v>4540</v>
      </c>
      <c r="C878" s="1"/>
      <c r="D878" t="s">
        <v>4541</v>
      </c>
      <c r="E878" s="2" t="s">
        <v>587</v>
      </c>
      <c r="F878" s="137" t="s">
        <v>4542</v>
      </c>
      <c r="G878" s="137" t="s">
        <v>4543</v>
      </c>
      <c r="H878" s="137" t="s">
        <v>4544</v>
      </c>
      <c r="I878" s="113" t="s">
        <v>292</v>
      </c>
      <c r="J878" s="108" t="str">
        <f t="shared" si="13"/>
        <v>034907</v>
      </c>
    </row>
    <row r="879" spans="1:10" ht="15" customHeight="1" x14ac:dyDescent="0.25">
      <c r="A879" t="str">
        <f>Table1[[#This Row],[District name]]&amp;" "&amp;Table1[[#This Row],[District number]]</f>
        <v>QUINLAN ISD 116908</v>
      </c>
      <c r="B879" t="s">
        <v>4545</v>
      </c>
      <c r="C879" s="1"/>
      <c r="D879" t="s">
        <v>4546</v>
      </c>
      <c r="E879" s="2" t="s">
        <v>288</v>
      </c>
      <c r="F879" s="137" t="s">
        <v>4547</v>
      </c>
      <c r="G879" s="137" t="s">
        <v>4548</v>
      </c>
      <c r="H879" s="137" t="s">
        <v>4549</v>
      </c>
      <c r="I879" s="113" t="s">
        <v>292</v>
      </c>
      <c r="J879" s="108" t="str">
        <f t="shared" si="13"/>
        <v>116908</v>
      </c>
    </row>
    <row r="880" spans="1:10" ht="15" customHeight="1" x14ac:dyDescent="0.25">
      <c r="A880" t="str">
        <f>Table1[[#This Row],[District name]]&amp;" "&amp;Table1[[#This Row],[District number]]</f>
        <v>QUITMAN ISD 250904</v>
      </c>
      <c r="B880" t="s">
        <v>4550</v>
      </c>
      <c r="C880" s="1"/>
      <c r="D880" t="s">
        <v>4551</v>
      </c>
      <c r="E880" s="2" t="s">
        <v>383</v>
      </c>
      <c r="F880" s="137" t="s">
        <v>4552</v>
      </c>
      <c r="G880" s="137" t="s">
        <v>4553</v>
      </c>
      <c r="H880" s="137" t="s">
        <v>4554</v>
      </c>
      <c r="I880" s="113" t="s">
        <v>292</v>
      </c>
      <c r="J880" s="108" t="str">
        <f t="shared" si="13"/>
        <v>250904</v>
      </c>
    </row>
    <row r="881" spans="1:10" ht="15" customHeight="1" x14ac:dyDescent="0.25">
      <c r="A881" t="str">
        <f>Table1[[#This Row],[District name]]&amp;" "&amp;Table1[[#This Row],[District number]]</f>
        <v>RAINS ISD 190903</v>
      </c>
      <c r="B881" t="s">
        <v>4555</v>
      </c>
      <c r="C881" s="1"/>
      <c r="D881" t="s">
        <v>4556</v>
      </c>
      <c r="E881" s="2" t="s">
        <v>383</v>
      </c>
      <c r="F881" s="137" t="s">
        <v>4557</v>
      </c>
      <c r="G881" s="137" t="s">
        <v>4558</v>
      </c>
      <c r="H881" s="137" t="s">
        <v>4559</v>
      </c>
      <c r="I881" s="113" t="s">
        <v>292</v>
      </c>
      <c r="J881" s="108" t="str">
        <f t="shared" si="13"/>
        <v>190903</v>
      </c>
    </row>
    <row r="882" spans="1:10" ht="15" customHeight="1" x14ac:dyDescent="0.25">
      <c r="A882" t="str">
        <f>Table1[[#This Row],[District name]]&amp;" "&amp;Table1[[#This Row],[District number]]</f>
        <v>RALLS ISD 054903</v>
      </c>
      <c r="B882" t="s">
        <v>4560</v>
      </c>
      <c r="C882" s="1"/>
      <c r="D882" t="s">
        <v>4561</v>
      </c>
      <c r="E882" s="2" t="s">
        <v>308</v>
      </c>
      <c r="F882" s="137" t="s">
        <v>4562</v>
      </c>
      <c r="G882" s="137" t="s">
        <v>4563</v>
      </c>
      <c r="H882" s="137" t="s">
        <v>4564</v>
      </c>
      <c r="I882" s="113" t="s">
        <v>292</v>
      </c>
      <c r="J882" s="108" t="str">
        <f t="shared" si="13"/>
        <v>054903</v>
      </c>
    </row>
    <row r="883" spans="1:10" ht="15" customHeight="1" x14ac:dyDescent="0.25">
      <c r="A883" t="str">
        <f>Table1[[#This Row],[District name]]&amp;" "&amp;Table1[[#This Row],[District number]]</f>
        <v>RAMIREZ CSD 066005</v>
      </c>
      <c r="B883" t="s">
        <v>4565</v>
      </c>
      <c r="C883" s="1"/>
      <c r="D883" t="s">
        <v>4566</v>
      </c>
      <c r="E883" s="2" t="s">
        <v>369</v>
      </c>
      <c r="F883" s="137" t="s">
        <v>4567</v>
      </c>
      <c r="G883" s="137" t="s">
        <v>4568</v>
      </c>
      <c r="H883" s="137" t="s">
        <v>4569</v>
      </c>
      <c r="I883" s="113" t="s">
        <v>292</v>
      </c>
      <c r="J883" s="108" t="str">
        <f t="shared" si="13"/>
        <v>066005</v>
      </c>
    </row>
    <row r="884" spans="1:10" ht="15" customHeight="1" x14ac:dyDescent="0.25">
      <c r="A884" t="str">
        <f>Table1[[#This Row],[District name]]&amp;" "&amp;Table1[[#This Row],[District number]]</f>
        <v>RANCH ACADEMY 234801</v>
      </c>
      <c r="B884" t="s">
        <v>4570</v>
      </c>
      <c r="C884" s="1"/>
      <c r="D884" t="s">
        <v>4571</v>
      </c>
      <c r="E884" s="2" t="s">
        <v>383</v>
      </c>
      <c r="F884" s="137" t="s">
        <v>4572</v>
      </c>
      <c r="G884" s="137" t="s">
        <v>4573</v>
      </c>
      <c r="H884" s="137" t="s">
        <v>4574</v>
      </c>
      <c r="I884" s="113" t="s">
        <v>292</v>
      </c>
      <c r="J884" s="108" t="str">
        <f t="shared" si="13"/>
        <v>234801</v>
      </c>
    </row>
    <row r="885" spans="1:10" ht="15" customHeight="1" x14ac:dyDescent="0.25">
      <c r="A885" t="str">
        <f>Table1[[#This Row],[District name]]&amp;" "&amp;Table1[[#This Row],[District number]]</f>
        <v>RANDOLPH FIELD ISD 015906</v>
      </c>
      <c r="B885" t="s">
        <v>4575</v>
      </c>
      <c r="C885" s="1"/>
      <c r="D885" t="s">
        <v>4576</v>
      </c>
      <c r="E885" s="2" t="s">
        <v>376</v>
      </c>
      <c r="F885" s="137" t="s">
        <v>4577</v>
      </c>
      <c r="G885" s="137" t="s">
        <v>4578</v>
      </c>
      <c r="H885" s="137" t="s">
        <v>4579</v>
      </c>
      <c r="I885" s="113" t="s">
        <v>292</v>
      </c>
      <c r="J885" s="108" t="str">
        <f t="shared" si="13"/>
        <v>015906</v>
      </c>
    </row>
    <row r="886" spans="1:10" ht="15" customHeight="1" x14ac:dyDescent="0.25">
      <c r="A886" t="str">
        <f>Table1[[#This Row],[District name]]&amp;" "&amp;Table1[[#This Row],[District number]]</f>
        <v>RANGER ISD 067907</v>
      </c>
      <c r="B886" t="s">
        <v>4580</v>
      </c>
      <c r="C886" s="1"/>
      <c r="D886" t="s">
        <v>4581</v>
      </c>
      <c r="E886" s="2" t="s">
        <v>314</v>
      </c>
      <c r="F886" s="137" t="s">
        <v>4582</v>
      </c>
      <c r="G886" s="137" t="s">
        <v>4583</v>
      </c>
      <c r="H886" s="137" t="s">
        <v>4584</v>
      </c>
      <c r="I886" s="113" t="s">
        <v>292</v>
      </c>
      <c r="J886" s="108" t="str">
        <f t="shared" si="13"/>
        <v>067907</v>
      </c>
    </row>
    <row r="887" spans="1:10" ht="15" customHeight="1" x14ac:dyDescent="0.25">
      <c r="A887" t="str">
        <f>Table1[[#This Row],[District name]]&amp;" "&amp;Table1[[#This Row],[District number]]</f>
        <v>RANKIN ISD 231902</v>
      </c>
      <c r="B887" t="s">
        <v>4585</v>
      </c>
      <c r="C887" s="1"/>
      <c r="D887" t="s">
        <v>4586</v>
      </c>
      <c r="E887" s="2" t="s">
        <v>430</v>
      </c>
      <c r="F887" s="137" t="s">
        <v>2712</v>
      </c>
      <c r="G887" s="137" t="s">
        <v>2713</v>
      </c>
      <c r="H887" s="137" t="s">
        <v>2714</v>
      </c>
      <c r="I887" s="113" t="s">
        <v>292</v>
      </c>
      <c r="J887" s="108" t="str">
        <f t="shared" si="13"/>
        <v>231902</v>
      </c>
    </row>
    <row r="888" spans="1:10" ht="15" customHeight="1" x14ac:dyDescent="0.25">
      <c r="A888" t="str">
        <f>Table1[[#This Row],[District name]]&amp;" "&amp;Table1[[#This Row],[District number]]</f>
        <v>RAPOPORT ACADEMY PUBLIC SCHOOL 161802</v>
      </c>
      <c r="B888" t="s">
        <v>4587</v>
      </c>
      <c r="C888" s="1"/>
      <c r="D888" t="s">
        <v>4588</v>
      </c>
      <c r="E888" s="2" t="s">
        <v>301</v>
      </c>
      <c r="F888" s="137" t="s">
        <v>4589</v>
      </c>
      <c r="G888" s="137" t="s">
        <v>4476</v>
      </c>
      <c r="H888" s="137" t="s">
        <v>4477</v>
      </c>
      <c r="I888" s="113" t="s">
        <v>292</v>
      </c>
      <c r="J888" s="108" t="str">
        <f t="shared" si="13"/>
        <v>161802</v>
      </c>
    </row>
    <row r="889" spans="1:10" ht="15" customHeight="1" x14ac:dyDescent="0.25">
      <c r="A889" t="str">
        <f>Table1[[#This Row],[District name]]&amp;" "&amp;Table1[[#This Row],[District number]]</f>
        <v>RAUL YZAGUIRRE SCHOOLS FOR SUCCESS 101806</v>
      </c>
      <c r="B889" t="s">
        <v>4590</v>
      </c>
      <c r="C889" s="1"/>
      <c r="D889" t="s">
        <v>4591</v>
      </c>
      <c r="E889" s="2" t="s">
        <v>295</v>
      </c>
      <c r="F889" s="137" t="s">
        <v>4592</v>
      </c>
      <c r="G889" s="137" t="s">
        <v>4593</v>
      </c>
      <c r="H889" s="137" t="s">
        <v>4594</v>
      </c>
      <c r="I889" s="113" t="s">
        <v>292</v>
      </c>
      <c r="J889" s="108" t="str">
        <f t="shared" si="13"/>
        <v>101806</v>
      </c>
    </row>
    <row r="890" spans="1:10" ht="15" customHeight="1" x14ac:dyDescent="0.25">
      <c r="A890" t="str">
        <f>Table1[[#This Row],[District name]]&amp;" "&amp;Table1[[#This Row],[District number]]</f>
        <v>RAVEN SCHOOL 236801</v>
      </c>
      <c r="B890" t="s">
        <v>4595</v>
      </c>
      <c r="C890" s="1"/>
      <c r="D890" t="s">
        <v>4596</v>
      </c>
      <c r="E890" s="2" t="s">
        <v>480</v>
      </c>
      <c r="F890" s="137" t="s">
        <v>4597</v>
      </c>
      <c r="G890" s="137" t="s">
        <v>4598</v>
      </c>
      <c r="H890" s="137" t="s">
        <v>4599</v>
      </c>
      <c r="I890" s="113" t="s">
        <v>292</v>
      </c>
      <c r="J890" s="108" t="str">
        <f t="shared" si="13"/>
        <v>236801</v>
      </c>
    </row>
    <row r="891" spans="1:10" ht="15" customHeight="1" x14ac:dyDescent="0.25">
      <c r="A891" t="str">
        <f>Table1[[#This Row],[District name]]&amp;" "&amp;Table1[[#This Row],[District number]]</f>
        <v>RAYMONDVILLE ISD 245903</v>
      </c>
      <c r="B891" t="s">
        <v>4600</v>
      </c>
      <c r="C891" s="1"/>
      <c r="D891" t="s">
        <v>4601</v>
      </c>
      <c r="E891" s="2" t="s">
        <v>982</v>
      </c>
      <c r="F891" s="137" t="s">
        <v>4602</v>
      </c>
      <c r="G891" s="137" t="s">
        <v>4603</v>
      </c>
      <c r="H891" s="137" t="s">
        <v>4604</v>
      </c>
      <c r="I891" s="113" t="s">
        <v>292</v>
      </c>
      <c r="J891" s="108" t="str">
        <f t="shared" si="13"/>
        <v>245903</v>
      </c>
    </row>
    <row r="892" spans="1:10" ht="15" customHeight="1" x14ac:dyDescent="0.25">
      <c r="A892" t="str">
        <f>Table1[[#This Row],[District name]]&amp;" "&amp;Table1[[#This Row],[District number]]</f>
        <v>REAGAN COUNTY ISD 192901</v>
      </c>
      <c r="B892" t="s">
        <v>4605</v>
      </c>
      <c r="C892" s="1"/>
      <c r="D892" t="s">
        <v>4606</v>
      </c>
      <c r="E892" s="2" t="s">
        <v>430</v>
      </c>
      <c r="F892" s="137" t="s">
        <v>4607</v>
      </c>
      <c r="G892" s="137" t="s">
        <v>4608</v>
      </c>
      <c r="H892" s="137" t="s">
        <v>4609</v>
      </c>
      <c r="I892" s="113" t="s">
        <v>292</v>
      </c>
      <c r="J892" s="108" t="str">
        <f t="shared" si="13"/>
        <v>192901</v>
      </c>
    </row>
    <row r="893" spans="1:10" ht="15" customHeight="1" x14ac:dyDescent="0.25">
      <c r="A893" t="str">
        <f>Table1[[#This Row],[District name]]&amp;" "&amp;Table1[[#This Row],[District number]]</f>
        <v>RED LICK ISD 019911</v>
      </c>
      <c r="B893" t="s">
        <v>4610</v>
      </c>
      <c r="C893" s="1"/>
      <c r="D893" t="s">
        <v>4611</v>
      </c>
      <c r="E893" s="2" t="s">
        <v>587</v>
      </c>
      <c r="F893" s="137" t="s">
        <v>4612</v>
      </c>
      <c r="G893" s="137" t="s">
        <v>4613</v>
      </c>
      <c r="H893" s="137" t="s">
        <v>4614</v>
      </c>
      <c r="I893" s="113" t="s">
        <v>292</v>
      </c>
      <c r="J893" s="108" t="str">
        <f t="shared" si="13"/>
        <v>019911</v>
      </c>
    </row>
    <row r="894" spans="1:10" ht="15" customHeight="1" x14ac:dyDescent="0.25">
      <c r="A894" t="str">
        <f>Table1[[#This Row],[District name]]&amp;" "&amp;Table1[[#This Row],[District number]]</f>
        <v>RED OAK ISD 070911</v>
      </c>
      <c r="B894" t="s">
        <v>4615</v>
      </c>
      <c r="C894" s="1"/>
      <c r="D894" t="s">
        <v>4616</v>
      </c>
      <c r="E894" s="2" t="s">
        <v>288</v>
      </c>
      <c r="F894" s="137" t="s">
        <v>4617</v>
      </c>
      <c r="G894" s="137" t="s">
        <v>4618</v>
      </c>
      <c r="H894" s="137" t="s">
        <v>4619</v>
      </c>
      <c r="I894" s="113" t="s">
        <v>292</v>
      </c>
      <c r="J894" s="108" t="str">
        <f t="shared" si="13"/>
        <v>070911</v>
      </c>
    </row>
    <row r="895" spans="1:10" ht="15" customHeight="1" x14ac:dyDescent="0.25">
      <c r="A895" t="str">
        <f>Table1[[#This Row],[District name]]&amp;" "&amp;Table1[[#This Row],[District number]]</f>
        <v>REDWATER ISD 019906</v>
      </c>
      <c r="B895" t="s">
        <v>4620</v>
      </c>
      <c r="C895" s="1"/>
      <c r="D895" t="s">
        <v>4621</v>
      </c>
      <c r="E895" s="2" t="s">
        <v>587</v>
      </c>
      <c r="F895" s="137" t="s">
        <v>4622</v>
      </c>
      <c r="G895" s="137" t="s">
        <v>4623</v>
      </c>
      <c r="H895" s="137" t="s">
        <v>4624</v>
      </c>
      <c r="I895" s="113" t="s">
        <v>292</v>
      </c>
      <c r="J895" s="108" t="str">
        <f t="shared" si="13"/>
        <v>019906</v>
      </c>
    </row>
    <row r="896" spans="1:10" ht="15" customHeight="1" x14ac:dyDescent="0.25">
      <c r="A896" t="str">
        <f>Table1[[#This Row],[District name]]&amp;" "&amp;Table1[[#This Row],[District number]]</f>
        <v>REFUGIO ISD 196903</v>
      </c>
      <c r="B896" t="s">
        <v>4625</v>
      </c>
      <c r="C896" s="1"/>
      <c r="D896" t="s">
        <v>4626</v>
      </c>
      <c r="E896" s="2" t="s">
        <v>614</v>
      </c>
      <c r="F896" s="137" t="s">
        <v>2551</v>
      </c>
      <c r="G896" s="137" t="s">
        <v>2552</v>
      </c>
      <c r="H896" s="137" t="s">
        <v>4627</v>
      </c>
      <c r="I896" s="113" t="s">
        <v>292</v>
      </c>
      <c r="J896" s="108" t="str">
        <f t="shared" si="13"/>
        <v>196903</v>
      </c>
    </row>
    <row r="897" spans="1:10" ht="15" customHeight="1" x14ac:dyDescent="0.25">
      <c r="A897" t="str">
        <f>Table1[[#This Row],[District name]]&amp;" "&amp;Table1[[#This Row],[District number]]</f>
        <v>REVE PREPARATORY CHARTER SCHOOL 101876</v>
      </c>
      <c r="B897" t="s">
        <v>4628</v>
      </c>
      <c r="C897" s="1"/>
      <c r="D897" t="s">
        <v>4629</v>
      </c>
      <c r="E897" s="2" t="s">
        <v>295</v>
      </c>
      <c r="F897" s="137" t="s">
        <v>1008</v>
      </c>
      <c r="G897" s="137" t="s">
        <v>4630</v>
      </c>
      <c r="H897" s="137" t="s">
        <v>4631</v>
      </c>
      <c r="I897" s="113" t="s">
        <v>292</v>
      </c>
      <c r="J897" s="108" t="str">
        <f t="shared" si="13"/>
        <v>101876</v>
      </c>
    </row>
    <row r="898" spans="1:10" ht="15" customHeight="1" x14ac:dyDescent="0.25">
      <c r="A898" t="str">
        <f>Table1[[#This Row],[District name]]&amp;" "&amp;Table1[[#This Row],[District number]]</f>
        <v>RICARDO ISD 137902</v>
      </c>
      <c r="B898" t="s">
        <v>4632</v>
      </c>
      <c r="C898" s="1"/>
      <c r="D898" t="s">
        <v>4633</v>
      </c>
      <c r="E898" s="2" t="s">
        <v>369</v>
      </c>
      <c r="F898" s="137" t="s">
        <v>4634</v>
      </c>
      <c r="G898" s="137" t="s">
        <v>2586</v>
      </c>
      <c r="H898" s="137" t="s">
        <v>2587</v>
      </c>
      <c r="I898" s="113" t="s">
        <v>292</v>
      </c>
      <c r="J898" s="108" t="str">
        <f t="shared" si="13"/>
        <v>137902</v>
      </c>
    </row>
    <row r="899" spans="1:10" ht="15" customHeight="1" x14ac:dyDescent="0.25">
      <c r="A899" t="str">
        <f>Table1[[#This Row],[District name]]&amp;" "&amp;Table1[[#This Row],[District number]]</f>
        <v>RICE CISD 045903</v>
      </c>
      <c r="B899" t="s">
        <v>4635</v>
      </c>
      <c r="C899" s="1"/>
      <c r="D899" t="s">
        <v>4636</v>
      </c>
      <c r="E899" s="2" t="s">
        <v>614</v>
      </c>
      <c r="F899" s="137" t="s">
        <v>921</v>
      </c>
      <c r="G899" s="137" t="s">
        <v>4637</v>
      </c>
      <c r="H899" s="137" t="s">
        <v>4638</v>
      </c>
      <c r="I899" s="113" t="s">
        <v>292</v>
      </c>
      <c r="J899" s="108" t="str">
        <f t="shared" si="13"/>
        <v>045903</v>
      </c>
    </row>
    <row r="900" spans="1:10" ht="15" customHeight="1" x14ac:dyDescent="0.25">
      <c r="A900" t="str">
        <f>Table1[[#This Row],[District name]]&amp;" "&amp;Table1[[#This Row],[District number]]</f>
        <v>RICE ISD 175911</v>
      </c>
      <c r="B900" t="s">
        <v>4639</v>
      </c>
      <c r="C900" s="1"/>
      <c r="D900" t="s">
        <v>4640</v>
      </c>
      <c r="E900" s="2" t="s">
        <v>301</v>
      </c>
      <c r="F900" s="137" t="s">
        <v>4641</v>
      </c>
      <c r="G900" s="137" t="s">
        <v>4642</v>
      </c>
      <c r="H900" s="137" t="s">
        <v>4643</v>
      </c>
      <c r="I900" s="113" t="s">
        <v>292</v>
      </c>
      <c r="J900" s="108" t="str">
        <f t="shared" si="13"/>
        <v>175911</v>
      </c>
    </row>
    <row r="901" spans="1:10" ht="15" customHeight="1" x14ac:dyDescent="0.25">
      <c r="A901" t="str">
        <f>Table1[[#This Row],[District name]]&amp;" "&amp;Table1[[#This Row],[District number]]</f>
        <v>RICHARD MILBURN ALTER HIGH SCHOOL (KILLEEN) 014801</v>
      </c>
      <c r="B901" t="s">
        <v>4644</v>
      </c>
      <c r="C901" s="1"/>
      <c r="D901" t="s">
        <v>4645</v>
      </c>
      <c r="E901" s="2" t="s">
        <v>301</v>
      </c>
      <c r="F901" s="137" t="s">
        <v>4646</v>
      </c>
      <c r="G901" s="137" t="s">
        <v>4647</v>
      </c>
      <c r="H901" s="137" t="s">
        <v>4648</v>
      </c>
      <c r="I901" s="113" t="s">
        <v>292</v>
      </c>
      <c r="J901" s="108" t="str">
        <f t="shared" si="13"/>
        <v>014801</v>
      </c>
    </row>
    <row r="902" spans="1:10" ht="15" customHeight="1" x14ac:dyDescent="0.25">
      <c r="A902" t="str">
        <f>Table1[[#This Row],[District name]]&amp;" "&amp;Table1[[#This Row],[District number]]</f>
        <v>RICHARDS ISD 093905</v>
      </c>
      <c r="B902" t="s">
        <v>4649</v>
      </c>
      <c r="C902" s="1"/>
      <c r="D902" t="s">
        <v>4650</v>
      </c>
      <c r="E902" s="2" t="s">
        <v>480</v>
      </c>
      <c r="F902" s="137" t="s">
        <v>806</v>
      </c>
      <c r="G902" s="137" t="s">
        <v>4651</v>
      </c>
      <c r="H902" s="137" t="s">
        <v>4652</v>
      </c>
      <c r="I902" s="113" t="s">
        <v>292</v>
      </c>
      <c r="J902" s="108" t="str">
        <f t="shared" ref="J902:J966" si="14">LEFT(B902,6)</f>
        <v>093905</v>
      </c>
    </row>
    <row r="903" spans="1:10" ht="15" customHeight="1" x14ac:dyDescent="0.25">
      <c r="A903" t="str">
        <f>Table1[[#This Row],[District name]]&amp;" "&amp;Table1[[#This Row],[District number]]</f>
        <v>RICHARDSON ISD 057916</v>
      </c>
      <c r="B903" t="s">
        <v>4653</v>
      </c>
      <c r="C903" s="1"/>
      <c r="D903" t="s">
        <v>4654</v>
      </c>
      <c r="E903" s="2" t="s">
        <v>288</v>
      </c>
      <c r="F903" s="137" t="s">
        <v>4655</v>
      </c>
      <c r="G903" s="137" t="s">
        <v>4656</v>
      </c>
      <c r="H903" s="137" t="s">
        <v>4657</v>
      </c>
      <c r="I903" s="113" t="s">
        <v>292</v>
      </c>
      <c r="J903" s="108" t="str">
        <f t="shared" si="14"/>
        <v>057916</v>
      </c>
    </row>
    <row r="904" spans="1:10" ht="15" customHeight="1" x14ac:dyDescent="0.25">
      <c r="A904" t="str">
        <f>Table1[[#This Row],[District name]]&amp;" "&amp;Table1[[#This Row],[District number]]</f>
        <v>RICHLAND COLLEGIATE HIGH SCHOOL 057840</v>
      </c>
      <c r="B904" t="s">
        <v>4658</v>
      </c>
      <c r="C904" s="1"/>
      <c r="D904" t="s">
        <v>4659</v>
      </c>
      <c r="E904" s="2" t="s">
        <v>288</v>
      </c>
      <c r="F904" s="137" t="s">
        <v>4660</v>
      </c>
      <c r="G904" s="137" t="s">
        <v>4661</v>
      </c>
      <c r="H904" s="137" t="s">
        <v>4662</v>
      </c>
      <c r="I904" s="113" t="s">
        <v>292</v>
      </c>
      <c r="J904" s="108" t="str">
        <f t="shared" si="14"/>
        <v>057840</v>
      </c>
    </row>
    <row r="905" spans="1:10" ht="15" customHeight="1" x14ac:dyDescent="0.25">
      <c r="A905" t="str">
        <f>Table1[[#This Row],[District name]]&amp;" "&amp;Table1[[#This Row],[District number]]</f>
        <v>RICHLAND SPRINGS ISD 206902</v>
      </c>
      <c r="B905" t="s">
        <v>4663</v>
      </c>
      <c r="C905" s="1"/>
      <c r="D905" t="s">
        <v>4664</v>
      </c>
      <c r="E905" s="2" t="s">
        <v>650</v>
      </c>
      <c r="F905" s="137" t="s">
        <v>4665</v>
      </c>
      <c r="G905" s="137" t="s">
        <v>4666</v>
      </c>
      <c r="H905" s="137" t="s">
        <v>4667</v>
      </c>
      <c r="I905" s="113" t="s">
        <v>292</v>
      </c>
      <c r="J905" s="108" t="str">
        <f t="shared" si="14"/>
        <v>206902</v>
      </c>
    </row>
    <row r="906" spans="1:10" ht="15" customHeight="1" x14ac:dyDescent="0.25">
      <c r="A906" t="str">
        <f>Table1[[#This Row],[District name]]&amp;" "&amp;Table1[[#This Row],[District number]]</f>
        <v>RIESEL ISD 161912</v>
      </c>
      <c r="B906" t="s">
        <v>4668</v>
      </c>
      <c r="C906" s="1"/>
      <c r="D906" t="s">
        <v>4669</v>
      </c>
      <c r="E906" s="2" t="s">
        <v>301</v>
      </c>
      <c r="F906" s="137" t="s">
        <v>2402</v>
      </c>
      <c r="G906" s="137" t="s">
        <v>4670</v>
      </c>
      <c r="H906" s="137" t="s">
        <v>4671</v>
      </c>
      <c r="I906" s="113" t="s">
        <v>292</v>
      </c>
      <c r="J906" s="108" t="str">
        <f t="shared" si="14"/>
        <v>161912</v>
      </c>
    </row>
    <row r="907" spans="1:10" ht="15" customHeight="1" x14ac:dyDescent="0.25">
      <c r="A907" t="str">
        <f>Table1[[#This Row],[District name]]&amp;" "&amp;Table1[[#This Row],[District number]]</f>
        <v>RIO GRANDE CITY GRULLA ISD 214901</v>
      </c>
      <c r="B907" t="s">
        <v>4672</v>
      </c>
      <c r="C907" s="1"/>
      <c r="D907" t="s">
        <v>4673</v>
      </c>
      <c r="E907" s="2" t="s">
        <v>982</v>
      </c>
      <c r="F907" s="137" t="s">
        <v>4674</v>
      </c>
      <c r="G907" s="137" t="s">
        <v>4675</v>
      </c>
      <c r="H907" s="137" t="s">
        <v>4676</v>
      </c>
      <c r="I907" s="113" t="s">
        <v>292</v>
      </c>
      <c r="J907" s="108" t="str">
        <f t="shared" si="14"/>
        <v>214901</v>
      </c>
    </row>
    <row r="908" spans="1:10" ht="15" customHeight="1" x14ac:dyDescent="0.25">
      <c r="A908" t="str">
        <f>Table1[[#This Row],[District name]]&amp;" "&amp;Table1[[#This Row],[District number]]</f>
        <v>RIO HONDO ISD 031911</v>
      </c>
      <c r="B908" t="s">
        <v>4677</v>
      </c>
      <c r="C908" s="1"/>
      <c r="D908" t="s">
        <v>4678</v>
      </c>
      <c r="E908" s="2" t="s">
        <v>982</v>
      </c>
      <c r="F908" s="137" t="s">
        <v>4679</v>
      </c>
      <c r="G908" s="137" t="s">
        <v>4680</v>
      </c>
      <c r="H908" s="137" t="s">
        <v>4681</v>
      </c>
      <c r="I908" s="113" t="s">
        <v>292</v>
      </c>
      <c r="J908" s="108" t="str">
        <f t="shared" si="14"/>
        <v>031911</v>
      </c>
    </row>
    <row r="909" spans="1:10" ht="15" customHeight="1" x14ac:dyDescent="0.25">
      <c r="A909" t="str">
        <f>Table1[[#This Row],[District name]]&amp;" "&amp;Table1[[#This Row],[District number]]</f>
        <v>RIO VISTA ISD 126907</v>
      </c>
      <c r="B909" t="s">
        <v>4682</v>
      </c>
      <c r="C909" s="1"/>
      <c r="D909" t="s">
        <v>4683</v>
      </c>
      <c r="E909" s="2" t="s">
        <v>402</v>
      </c>
      <c r="F909" s="137" t="s">
        <v>4684</v>
      </c>
      <c r="G909" s="137" t="s">
        <v>4685</v>
      </c>
      <c r="H909" s="137" t="s">
        <v>4686</v>
      </c>
      <c r="I909" s="113" t="s">
        <v>292</v>
      </c>
      <c r="J909" s="108" t="str">
        <f t="shared" si="14"/>
        <v>126907</v>
      </c>
    </row>
    <row r="910" spans="1:10" ht="15" customHeight="1" x14ac:dyDescent="0.25">
      <c r="A910" t="str">
        <f>Table1[[#This Row],[District name]]&amp;" "&amp;Table1[[#This Row],[District number]]</f>
        <v>RISE ACADEMY 152802</v>
      </c>
      <c r="B910" t="s">
        <v>4687</v>
      </c>
      <c r="C910" s="1"/>
      <c r="D910" t="s">
        <v>4688</v>
      </c>
      <c r="E910" s="2" t="s">
        <v>308</v>
      </c>
      <c r="F910" s="137" t="s">
        <v>4689</v>
      </c>
      <c r="G910" s="137" t="s">
        <v>4690</v>
      </c>
      <c r="H910" s="137" t="s">
        <v>4691</v>
      </c>
      <c r="I910" s="113" t="s">
        <v>292</v>
      </c>
      <c r="J910" s="108" t="str">
        <f t="shared" si="14"/>
        <v>152802</v>
      </c>
    </row>
    <row r="911" spans="1:10" ht="15" customHeight="1" x14ac:dyDescent="0.25">
      <c r="A911" t="str">
        <f>Table1[[#This Row],[District name]]&amp;" "&amp;Table1[[#This Row],[District number]]</f>
        <v>RISING STAR ISD 067908</v>
      </c>
      <c r="B911" t="s">
        <v>4692</v>
      </c>
      <c r="C911" s="1"/>
      <c r="D911" t="s">
        <v>4693</v>
      </c>
      <c r="E911" s="2" t="s">
        <v>314</v>
      </c>
      <c r="F911" s="137" t="s">
        <v>4694</v>
      </c>
      <c r="G911" s="137" t="s">
        <v>4695</v>
      </c>
      <c r="H911" s="137" t="s">
        <v>4696</v>
      </c>
      <c r="I911" s="113" t="s">
        <v>292</v>
      </c>
      <c r="J911" s="108" t="str">
        <f t="shared" si="14"/>
        <v>067908</v>
      </c>
    </row>
    <row r="912" spans="1:10" ht="15" customHeight="1" x14ac:dyDescent="0.25">
      <c r="A912" t="str">
        <f>Table1[[#This Row],[District name]]&amp;" "&amp;Table1[[#This Row],[District number]]</f>
        <v>RIVER ROAD ISD 188902</v>
      </c>
      <c r="B912" t="s">
        <v>4697</v>
      </c>
      <c r="C912" s="1"/>
      <c r="D912" t="s">
        <v>4698</v>
      </c>
      <c r="E912" s="2" t="s">
        <v>356</v>
      </c>
      <c r="F912" s="137" t="s">
        <v>4699</v>
      </c>
      <c r="G912" s="137" t="s">
        <v>4700</v>
      </c>
      <c r="H912" s="137" t="s">
        <v>4701</v>
      </c>
      <c r="I912" s="113" t="s">
        <v>292</v>
      </c>
      <c r="J912" s="108" t="str">
        <f t="shared" si="14"/>
        <v>188902</v>
      </c>
    </row>
    <row r="913" spans="1:10" ht="15" customHeight="1" x14ac:dyDescent="0.25">
      <c r="A913" t="str">
        <f>Table1[[#This Row],[District name]]&amp;" "&amp;Table1[[#This Row],[District number]]</f>
        <v>RIVERCREST ISD 194903</v>
      </c>
      <c r="B913" t="s">
        <v>4702</v>
      </c>
      <c r="C913" s="1"/>
      <c r="D913" t="s">
        <v>4703</v>
      </c>
      <c r="E913" s="2" t="s">
        <v>587</v>
      </c>
      <c r="F913" s="137" t="s">
        <v>3062</v>
      </c>
      <c r="G913" s="137" t="s">
        <v>4704</v>
      </c>
      <c r="H913" s="137" t="s">
        <v>4705</v>
      </c>
      <c r="I913" s="113" t="s">
        <v>292</v>
      </c>
      <c r="J913" s="108" t="str">
        <f t="shared" si="14"/>
        <v>194903</v>
      </c>
    </row>
    <row r="914" spans="1:10" ht="15" customHeight="1" x14ac:dyDescent="0.25">
      <c r="A914" t="str">
        <f>Table1[[#This Row],[District name]]&amp;" "&amp;Table1[[#This Row],[District number]]</f>
        <v>RIVIERA ISD 137903</v>
      </c>
      <c r="B914" t="s">
        <v>4706</v>
      </c>
      <c r="C914" s="1"/>
      <c r="D914" t="s">
        <v>4707</v>
      </c>
      <c r="E914" s="2" t="s">
        <v>369</v>
      </c>
      <c r="F914" s="137" t="s">
        <v>4708</v>
      </c>
      <c r="G914" s="137" t="s">
        <v>4709</v>
      </c>
      <c r="H914" s="137" t="s">
        <v>4710</v>
      </c>
      <c r="I914" s="113" t="s">
        <v>292</v>
      </c>
      <c r="J914" s="108" t="str">
        <f t="shared" si="14"/>
        <v>137903</v>
      </c>
    </row>
    <row r="915" spans="1:10" ht="15" customHeight="1" x14ac:dyDescent="0.25">
      <c r="A915" t="str">
        <f>Table1[[#This Row],[District name]]&amp;" "&amp;Table1[[#This Row],[District number]]</f>
        <v>ROBERT LEE ISD 041902</v>
      </c>
      <c r="B915" t="s">
        <v>4711</v>
      </c>
      <c r="C915" s="1"/>
      <c r="D915" t="s">
        <v>4712</v>
      </c>
      <c r="E915" s="2" t="s">
        <v>650</v>
      </c>
      <c r="F915" s="137" t="s">
        <v>4713</v>
      </c>
      <c r="G915" s="137" t="s">
        <v>3589</v>
      </c>
      <c r="H915" s="137" t="s">
        <v>4714</v>
      </c>
      <c r="I915" s="113" t="s">
        <v>292</v>
      </c>
      <c r="J915" s="108" t="str">
        <f t="shared" si="14"/>
        <v>041902</v>
      </c>
    </row>
    <row r="916" spans="1:10" ht="15" customHeight="1" x14ac:dyDescent="0.25">
      <c r="A916" t="str">
        <f>Table1[[#This Row],[District name]]&amp;" "&amp;Table1[[#This Row],[District number]]</f>
        <v>ROBINSON ISD 161922</v>
      </c>
      <c r="B916" t="s">
        <v>4715</v>
      </c>
      <c r="C916" s="1"/>
      <c r="D916" t="s">
        <v>4716</v>
      </c>
      <c r="E916" s="2" t="s">
        <v>301</v>
      </c>
      <c r="F916" s="137" t="s">
        <v>4717</v>
      </c>
      <c r="G916" s="137" t="s">
        <v>4718</v>
      </c>
      <c r="H916" s="137" t="s">
        <v>4719</v>
      </c>
      <c r="I916" s="113" t="s">
        <v>292</v>
      </c>
      <c r="J916" s="108" t="str">
        <f t="shared" si="14"/>
        <v>161922</v>
      </c>
    </row>
    <row r="917" spans="1:10" ht="15" customHeight="1" x14ac:dyDescent="0.25">
      <c r="A917" t="str">
        <f>Table1[[#This Row],[District name]]&amp;" "&amp;Table1[[#This Row],[District number]]</f>
        <v>ROBSTOWN ISD 178909</v>
      </c>
      <c r="B917" t="s">
        <v>4720</v>
      </c>
      <c r="C917" s="1"/>
      <c r="D917" t="s">
        <v>4721</v>
      </c>
      <c r="E917" s="2" t="s">
        <v>369</v>
      </c>
      <c r="F917" s="137" t="s">
        <v>4722</v>
      </c>
      <c r="G917" s="137" t="s">
        <v>4723</v>
      </c>
      <c r="H917" s="137" t="s">
        <v>4724</v>
      </c>
      <c r="I917" s="113" t="s">
        <v>292</v>
      </c>
      <c r="J917" s="108" t="str">
        <f t="shared" si="14"/>
        <v>178909</v>
      </c>
    </row>
    <row r="918" spans="1:10" ht="15" customHeight="1" x14ac:dyDescent="0.25">
      <c r="A918" t="str">
        <f>Table1[[#This Row],[District name]]&amp;" "&amp;Table1[[#This Row],[District number]]</f>
        <v>ROBY CISD 076903</v>
      </c>
      <c r="B918" t="s">
        <v>4725</v>
      </c>
      <c r="C918" s="1"/>
      <c r="D918" t="s">
        <v>4726</v>
      </c>
      <c r="E918" s="2" t="s">
        <v>314</v>
      </c>
      <c r="F918" s="137" t="s">
        <v>4727</v>
      </c>
      <c r="G918" s="137" t="s">
        <v>4728</v>
      </c>
      <c r="H918" s="137" t="s">
        <v>4729</v>
      </c>
      <c r="I918" s="113" t="s">
        <v>292</v>
      </c>
      <c r="J918" s="108" t="str">
        <f t="shared" si="14"/>
        <v>076903</v>
      </c>
    </row>
    <row r="919" spans="1:10" ht="15" customHeight="1" x14ac:dyDescent="0.25">
      <c r="A919" t="str">
        <f>Table1[[#This Row],[District name]]&amp;" "&amp;Table1[[#This Row],[District number]]</f>
        <v>ROCHELLE ISD 160904</v>
      </c>
      <c r="B919" t="s">
        <v>4730</v>
      </c>
      <c r="C919" s="1"/>
      <c r="D919" t="s">
        <v>4731</v>
      </c>
      <c r="E919" s="2" t="s">
        <v>650</v>
      </c>
      <c r="F919" s="137" t="s">
        <v>4732</v>
      </c>
      <c r="G919" s="137" t="s">
        <v>4733</v>
      </c>
      <c r="H919" s="137" t="s">
        <v>4734</v>
      </c>
      <c r="I919" s="113" t="s">
        <v>292</v>
      </c>
      <c r="J919" s="108" t="str">
        <f t="shared" si="14"/>
        <v>160904</v>
      </c>
    </row>
    <row r="920" spans="1:10" ht="15" customHeight="1" x14ac:dyDescent="0.25">
      <c r="A920" t="str">
        <f>Table1[[#This Row],[District name]]&amp;" "&amp;Table1[[#This Row],[District number]]</f>
        <v>ROCKDALE ISD 166904</v>
      </c>
      <c r="B920" t="s">
        <v>4735</v>
      </c>
      <c r="C920" s="1"/>
      <c r="D920" t="s">
        <v>4736</v>
      </c>
      <c r="E920" s="2" t="s">
        <v>480</v>
      </c>
      <c r="F920" s="137" t="s">
        <v>4737</v>
      </c>
      <c r="G920" s="137" t="s">
        <v>4738</v>
      </c>
      <c r="H920" s="137" t="s">
        <v>4739</v>
      </c>
      <c r="I920" s="113" t="s">
        <v>292</v>
      </c>
      <c r="J920" s="108" t="str">
        <f t="shared" si="14"/>
        <v>166904</v>
      </c>
    </row>
    <row r="921" spans="1:10" ht="15" customHeight="1" x14ac:dyDescent="0.25">
      <c r="A921" t="s">
        <v>4740</v>
      </c>
      <c r="B921" t="s">
        <v>4741</v>
      </c>
      <c r="C921" s="1"/>
      <c r="D921" t="s">
        <v>4740</v>
      </c>
      <c r="E921" s="2" t="s">
        <v>402</v>
      </c>
      <c r="F921" s="137" t="s">
        <v>4742</v>
      </c>
      <c r="G921" s="137" t="s">
        <v>4743</v>
      </c>
      <c r="H921" s="137" t="s">
        <v>4744</v>
      </c>
      <c r="I921" s="113" t="s">
        <v>292</v>
      </c>
      <c r="J921" s="108" t="str">
        <f>LEFT(B921,6)</f>
        <v>220820</v>
      </c>
    </row>
    <row r="922" spans="1:10" ht="15" customHeight="1" x14ac:dyDescent="0.25">
      <c r="A922" t="str">
        <f>Table1[[#This Row],[District name]]&amp;" "&amp;Table1[[#This Row],[District number]]</f>
        <v>ROCKSPRINGS ISD 069901</v>
      </c>
      <c r="B922" t="s">
        <v>4745</v>
      </c>
      <c r="C922" s="1"/>
      <c r="D922" t="s">
        <v>4746</v>
      </c>
      <c r="E922" s="2" t="s">
        <v>650</v>
      </c>
      <c r="F922" s="137" t="s">
        <v>4747</v>
      </c>
      <c r="G922" s="137" t="s">
        <v>4748</v>
      </c>
      <c r="H922" s="137" t="s">
        <v>4749</v>
      </c>
      <c r="I922" s="113" t="s">
        <v>292</v>
      </c>
      <c r="J922" s="108" t="str">
        <f t="shared" si="14"/>
        <v>069901</v>
      </c>
    </row>
    <row r="923" spans="1:10" ht="15" customHeight="1" x14ac:dyDescent="0.25">
      <c r="A923" t="str">
        <f>Table1[[#This Row],[District name]]&amp;" "&amp;Table1[[#This Row],[District number]]</f>
        <v>ROCKWALL ISD 199901</v>
      </c>
      <c r="B923" t="s">
        <v>4750</v>
      </c>
      <c r="C923" s="1"/>
      <c r="D923" t="s">
        <v>4751</v>
      </c>
      <c r="E923" s="2" t="s">
        <v>288</v>
      </c>
      <c r="F923" s="137" t="s">
        <v>4752</v>
      </c>
      <c r="G923" s="137" t="s">
        <v>4753</v>
      </c>
      <c r="H923" s="137" t="s">
        <v>4754</v>
      </c>
      <c r="I923" s="113" t="s">
        <v>292</v>
      </c>
      <c r="J923" s="108" t="str">
        <f t="shared" si="14"/>
        <v>199901</v>
      </c>
    </row>
    <row r="924" spans="1:10" ht="15" customHeight="1" x14ac:dyDescent="0.25">
      <c r="A924" t="str">
        <f>Table1[[#This Row],[District name]]&amp;" "&amp;Table1[[#This Row],[District number]]</f>
        <v>ROGERS ISD 014907</v>
      </c>
      <c r="B924" t="s">
        <v>4755</v>
      </c>
      <c r="C924" s="1"/>
      <c r="D924" t="s">
        <v>4756</v>
      </c>
      <c r="E924" s="2" t="s">
        <v>301</v>
      </c>
      <c r="F924" s="137" t="s">
        <v>4533</v>
      </c>
      <c r="G924" s="137" t="s">
        <v>2055</v>
      </c>
      <c r="H924" s="137" t="s">
        <v>4757</v>
      </c>
      <c r="I924" s="113" t="s">
        <v>292</v>
      </c>
      <c r="J924" s="108" t="str">
        <f t="shared" si="14"/>
        <v>014907</v>
      </c>
    </row>
    <row r="925" spans="1:10" ht="15" customHeight="1" x14ac:dyDescent="0.25">
      <c r="A925" t="str">
        <f>Table1[[#This Row],[District name]]&amp;" "&amp;Table1[[#This Row],[District number]]</f>
        <v>ROMA ISD 214903</v>
      </c>
      <c r="B925" t="s">
        <v>4758</v>
      </c>
      <c r="C925" s="1"/>
      <c r="D925" t="s">
        <v>4759</v>
      </c>
      <c r="E925" s="2" t="s">
        <v>982</v>
      </c>
      <c r="F925" s="137" t="s">
        <v>4760</v>
      </c>
      <c r="G925" s="137" t="s">
        <v>4761</v>
      </c>
      <c r="H925" s="137" t="s">
        <v>4762</v>
      </c>
      <c r="I925" s="113" t="s">
        <v>292</v>
      </c>
      <c r="J925" s="108" t="str">
        <f t="shared" si="14"/>
        <v>214903</v>
      </c>
    </row>
    <row r="926" spans="1:10" ht="15" customHeight="1" x14ac:dyDescent="0.25">
      <c r="A926" t="str">
        <f>Table1[[#This Row],[District name]]&amp;" "&amp;Table1[[#This Row],[District number]]</f>
        <v>ROOSEVELT ISD 152908</v>
      </c>
      <c r="B926" t="s">
        <v>4763</v>
      </c>
      <c r="C926" s="1"/>
      <c r="D926" t="s">
        <v>4764</v>
      </c>
      <c r="E926" s="2" t="s">
        <v>308</v>
      </c>
      <c r="F926" s="137" t="s">
        <v>4765</v>
      </c>
      <c r="G926" s="137" t="s">
        <v>4766</v>
      </c>
      <c r="H926" s="137" t="s">
        <v>4767</v>
      </c>
      <c r="I926" s="113" t="s">
        <v>292</v>
      </c>
      <c r="J926" s="108" t="str">
        <f t="shared" si="14"/>
        <v>152908</v>
      </c>
    </row>
    <row r="927" spans="1:10" ht="15" customHeight="1" x14ac:dyDescent="0.25">
      <c r="A927" t="str">
        <f>Table1[[#This Row],[District name]]&amp;" "&amp;Table1[[#This Row],[District number]]</f>
        <v>ROPES ISD 110905</v>
      </c>
      <c r="B927" t="s">
        <v>4768</v>
      </c>
      <c r="C927" s="1"/>
      <c r="D927" t="s">
        <v>4769</v>
      </c>
      <c r="E927" s="2" t="s">
        <v>308</v>
      </c>
      <c r="F927" s="137" t="s">
        <v>4770</v>
      </c>
      <c r="G927" s="137" t="s">
        <v>4771</v>
      </c>
      <c r="H927" s="137" t="s">
        <v>4772</v>
      </c>
      <c r="I927" s="113" t="s">
        <v>292</v>
      </c>
      <c r="J927" s="108" t="str">
        <f t="shared" si="14"/>
        <v>110905</v>
      </c>
    </row>
    <row r="928" spans="1:10" ht="15" customHeight="1" x14ac:dyDescent="0.25">
      <c r="A928" t="str">
        <f>Table1[[#This Row],[District name]]&amp;" "&amp;Table1[[#This Row],[District number]]</f>
        <v>ROSCOE COLLEGIATE ISD 177901</v>
      </c>
      <c r="B928" t="s">
        <v>4773</v>
      </c>
      <c r="C928" s="1"/>
      <c r="D928" t="s">
        <v>4774</v>
      </c>
      <c r="E928" s="2" t="s">
        <v>314</v>
      </c>
      <c r="F928" s="137" t="s">
        <v>4775</v>
      </c>
      <c r="G928" s="137" t="s">
        <v>4776</v>
      </c>
      <c r="H928" s="137" t="s">
        <v>4777</v>
      </c>
      <c r="I928" s="113" t="s">
        <v>292</v>
      </c>
      <c r="J928" s="108" t="str">
        <f t="shared" si="14"/>
        <v>177901</v>
      </c>
    </row>
    <row r="929" spans="1:10" ht="15" customHeight="1" x14ac:dyDescent="0.25">
      <c r="A929" t="str">
        <f>Table1[[#This Row],[District name]]&amp;" "&amp;Table1[[#This Row],[District number]]</f>
        <v>ROSEBUD-LOTT ISD 073905</v>
      </c>
      <c r="B929" t="s">
        <v>4778</v>
      </c>
      <c r="C929" s="1"/>
      <c r="D929" t="s">
        <v>4779</v>
      </c>
      <c r="E929" s="2" t="s">
        <v>301</v>
      </c>
      <c r="F929" s="137" t="s">
        <v>4780</v>
      </c>
      <c r="G929" s="137" t="s">
        <v>4781</v>
      </c>
      <c r="H929" s="137" t="s">
        <v>4782</v>
      </c>
      <c r="I929" s="113" t="s">
        <v>292</v>
      </c>
      <c r="J929" s="108" t="str">
        <f t="shared" si="14"/>
        <v>073905</v>
      </c>
    </row>
    <row r="930" spans="1:10" ht="15" customHeight="1" x14ac:dyDescent="0.25">
      <c r="A930" t="str">
        <f>Table1[[#This Row],[District name]]&amp;" "&amp;Table1[[#This Row],[District number]]</f>
        <v>ROTAN ISD 076904</v>
      </c>
      <c r="B930" t="s">
        <v>4783</v>
      </c>
      <c r="C930" s="1"/>
      <c r="D930" t="s">
        <v>4784</v>
      </c>
      <c r="E930" s="2" t="s">
        <v>314</v>
      </c>
      <c r="F930" s="137" t="s">
        <v>4785</v>
      </c>
      <c r="G930" s="137" t="s">
        <v>4786</v>
      </c>
      <c r="H930" s="137" t="s">
        <v>4787</v>
      </c>
      <c r="I930" s="113" t="s">
        <v>292</v>
      </c>
      <c r="J930" s="108" t="str">
        <f t="shared" si="14"/>
        <v>076904</v>
      </c>
    </row>
    <row r="931" spans="1:10" ht="15" customHeight="1" x14ac:dyDescent="0.25">
      <c r="A931" t="str">
        <f>Table1[[#This Row],[District name]]&amp;" "&amp;Table1[[#This Row],[District number]]</f>
        <v>ROUND ROCK ISD 246909</v>
      </c>
      <c r="B931" t="s">
        <v>4788</v>
      </c>
      <c r="C931" s="1"/>
      <c r="D931" t="s">
        <v>4789</v>
      </c>
      <c r="E931" s="2" t="s">
        <v>598</v>
      </c>
      <c r="F931" s="137" t="s">
        <v>4790</v>
      </c>
      <c r="G931" s="137" t="s">
        <v>4791</v>
      </c>
      <c r="H931" s="137" t="s">
        <v>4792</v>
      </c>
      <c r="I931" s="113" t="s">
        <v>292</v>
      </c>
      <c r="J931" s="108" t="str">
        <f t="shared" si="14"/>
        <v>246909</v>
      </c>
    </row>
    <row r="932" spans="1:10" ht="15" customHeight="1" x14ac:dyDescent="0.25">
      <c r="A932" t="str">
        <f>Table1[[#This Row],[District name]]&amp;" "&amp;Table1[[#This Row],[District number]]</f>
        <v>ROUND TOP-CARMINE ISD 075908</v>
      </c>
      <c r="B932" t="s">
        <v>4793</v>
      </c>
      <c r="C932" s="1"/>
      <c r="D932" t="s">
        <v>4794</v>
      </c>
      <c r="E932" s="2" t="s">
        <v>598</v>
      </c>
      <c r="F932" s="137" t="s">
        <v>4795</v>
      </c>
      <c r="G932" s="137" t="s">
        <v>4796</v>
      </c>
      <c r="H932" s="137" t="s">
        <v>4797</v>
      </c>
      <c r="I932" s="113" t="s">
        <v>292</v>
      </c>
      <c r="J932" s="108" t="str">
        <f t="shared" si="14"/>
        <v>075908</v>
      </c>
    </row>
    <row r="933" spans="1:10" ht="15" customHeight="1" x14ac:dyDescent="0.25">
      <c r="A933" t="str">
        <f>Table1[[#This Row],[District name]]&amp;" "&amp;Table1[[#This Row],[District number]]</f>
        <v>ROYAL ISD 237905</v>
      </c>
      <c r="B933" t="s">
        <v>4798</v>
      </c>
      <c r="C933" s="1"/>
      <c r="D933" t="s">
        <v>4799</v>
      </c>
      <c r="E933" s="2" t="s">
        <v>295</v>
      </c>
      <c r="F933" s="137" t="s">
        <v>4155</v>
      </c>
      <c r="G933" s="137" t="s">
        <v>4156</v>
      </c>
      <c r="H933" s="137" t="s">
        <v>4800</v>
      </c>
      <c r="I933" s="113" t="s">
        <v>292</v>
      </c>
      <c r="J933" s="108" t="str">
        <f t="shared" si="14"/>
        <v>237905</v>
      </c>
    </row>
    <row r="934" spans="1:10" ht="15" customHeight="1" x14ac:dyDescent="0.25">
      <c r="A934" t="str">
        <f>Table1[[#This Row],[District name]]&amp;" "&amp;Table1[[#This Row],[District number]]</f>
        <v>ROYAL PUBLIC SCHOOLS 015842</v>
      </c>
      <c r="B934" t="s">
        <v>4801</v>
      </c>
      <c r="C934" s="1"/>
      <c r="D934" t="s">
        <v>4802</v>
      </c>
      <c r="E934" s="2" t="s">
        <v>376</v>
      </c>
      <c r="F934" s="137" t="s">
        <v>4803</v>
      </c>
      <c r="G934" s="137" t="s">
        <v>4804</v>
      </c>
      <c r="H934" s="137" t="s">
        <v>4805</v>
      </c>
      <c r="I934" s="113" t="s">
        <v>292</v>
      </c>
      <c r="J934" s="108" t="str">
        <f t="shared" si="14"/>
        <v>015842</v>
      </c>
    </row>
    <row r="935" spans="1:10" ht="15" customHeight="1" x14ac:dyDescent="0.25">
      <c r="A935" t="str">
        <f>Table1[[#This Row],[District name]]&amp;" "&amp;Table1[[#This Row],[District number]]</f>
        <v>ROYSE CITY ISD 199902</v>
      </c>
      <c r="B935" t="s">
        <v>4806</v>
      </c>
      <c r="C935" s="1"/>
      <c r="D935" t="s">
        <v>4807</v>
      </c>
      <c r="E935" s="2" t="s">
        <v>288</v>
      </c>
      <c r="F935" s="137" t="s">
        <v>4808</v>
      </c>
      <c r="G935" s="137" t="s">
        <v>4542</v>
      </c>
      <c r="H935" s="137" t="s">
        <v>4809</v>
      </c>
      <c r="I935" s="113" t="s">
        <v>292</v>
      </c>
      <c r="J935" s="108" t="str">
        <f t="shared" si="14"/>
        <v>199902</v>
      </c>
    </row>
    <row r="936" spans="1:10" ht="15" customHeight="1" x14ac:dyDescent="0.25">
      <c r="A936" t="str">
        <f>Table1[[#This Row],[District name]]&amp;" "&amp;Table1[[#This Row],[District number]]</f>
        <v>RULE ISD 104903</v>
      </c>
      <c r="B936" t="s">
        <v>4810</v>
      </c>
      <c r="C936" s="1"/>
      <c r="D936" t="s">
        <v>4811</v>
      </c>
      <c r="E936" s="2" t="s">
        <v>314</v>
      </c>
      <c r="F936" s="137" t="s">
        <v>4812</v>
      </c>
      <c r="G936" s="137" t="s">
        <v>4813</v>
      </c>
      <c r="H936" s="137" t="s">
        <v>4814</v>
      </c>
      <c r="I936" s="113" t="s">
        <v>292</v>
      </c>
      <c r="J936" s="108" t="str">
        <f t="shared" si="14"/>
        <v>104903</v>
      </c>
    </row>
    <row r="937" spans="1:10" ht="15" customHeight="1" x14ac:dyDescent="0.25">
      <c r="A937" t="str">
        <f>Table1[[#This Row],[District name]]&amp;" "&amp;Table1[[#This Row],[District number]]</f>
        <v>RUNGE ISD 128903</v>
      </c>
      <c r="B937" t="s">
        <v>4815</v>
      </c>
      <c r="C937" s="1"/>
      <c r="D937" t="s">
        <v>4816</v>
      </c>
      <c r="E937" s="2" t="s">
        <v>614</v>
      </c>
      <c r="F937" s="137" t="s">
        <v>4817</v>
      </c>
      <c r="G937" s="137" t="s">
        <v>4818</v>
      </c>
      <c r="H937" s="137" t="s">
        <v>4819</v>
      </c>
      <c r="I937" s="113" t="s">
        <v>292</v>
      </c>
      <c r="J937" s="108" t="str">
        <f t="shared" si="14"/>
        <v>128903</v>
      </c>
    </row>
    <row r="938" spans="1:10" ht="15" customHeight="1" x14ac:dyDescent="0.25">
      <c r="A938" t="str">
        <f>Table1[[#This Row],[District name]]&amp;" "&amp;Table1[[#This Row],[District number]]</f>
        <v>RUSK ISD 037907</v>
      </c>
      <c r="B938" t="s">
        <v>4820</v>
      </c>
      <c r="C938" s="1"/>
      <c r="D938" t="s">
        <v>4821</v>
      </c>
      <c r="E938" s="2" t="s">
        <v>383</v>
      </c>
      <c r="F938" s="137" t="s">
        <v>4822</v>
      </c>
      <c r="G938" s="137" t="s">
        <v>4823</v>
      </c>
      <c r="H938" s="137" t="s">
        <v>4824</v>
      </c>
      <c r="I938" s="113" t="s">
        <v>292</v>
      </c>
      <c r="J938" s="108" t="str">
        <f t="shared" si="14"/>
        <v>037907</v>
      </c>
    </row>
    <row r="939" spans="1:10" ht="15" customHeight="1" x14ac:dyDescent="0.25">
      <c r="A939" t="str">
        <f>Table1[[#This Row],[District name]]&amp;" "&amp;Table1[[#This Row],[District number]]</f>
        <v>S AND S CISD 091914</v>
      </c>
      <c r="B939" t="s">
        <v>4825</v>
      </c>
      <c r="C939" s="1"/>
      <c r="D939" t="s">
        <v>4826</v>
      </c>
      <c r="E939" s="2" t="s">
        <v>288</v>
      </c>
      <c r="F939" s="137" t="s">
        <v>1925</v>
      </c>
      <c r="G939" s="137" t="s">
        <v>4827</v>
      </c>
      <c r="H939" s="137" t="s">
        <v>4828</v>
      </c>
      <c r="I939" s="113" t="s">
        <v>292</v>
      </c>
      <c r="J939" s="108" t="str">
        <f t="shared" si="14"/>
        <v>091914</v>
      </c>
    </row>
    <row r="940" spans="1:10" ht="15" customHeight="1" x14ac:dyDescent="0.25">
      <c r="A940" t="str">
        <f>Table1[[#This Row],[District name]]&amp;" "&amp;Table1[[#This Row],[District number]]</f>
        <v>SABINAL ISD 232902</v>
      </c>
      <c r="B940" t="s">
        <v>4829</v>
      </c>
      <c r="C940" s="1"/>
      <c r="D940" t="s">
        <v>4830</v>
      </c>
      <c r="E940" s="2" t="s">
        <v>376</v>
      </c>
      <c r="F940" s="137" t="s">
        <v>4831</v>
      </c>
      <c r="G940" s="137" t="s">
        <v>4832</v>
      </c>
      <c r="H940" s="137" t="s">
        <v>4833</v>
      </c>
      <c r="I940" s="113" t="s">
        <v>292</v>
      </c>
      <c r="J940" s="108" t="str">
        <f t="shared" si="14"/>
        <v>232902</v>
      </c>
    </row>
    <row r="941" spans="1:10" ht="15" customHeight="1" x14ac:dyDescent="0.25">
      <c r="A941" t="str">
        <f>Table1[[#This Row],[District name]]&amp;" "&amp;Table1[[#This Row],[District number]]</f>
        <v>SABINE ISD 092906</v>
      </c>
      <c r="B941" t="s">
        <v>4834</v>
      </c>
      <c r="C941" s="1"/>
      <c r="D941" t="s">
        <v>4835</v>
      </c>
      <c r="E941" s="2" t="s">
        <v>383</v>
      </c>
      <c r="F941" s="137" t="s">
        <v>4836</v>
      </c>
      <c r="G941" s="137" t="s">
        <v>4837</v>
      </c>
      <c r="H941" s="137" t="s">
        <v>4838</v>
      </c>
      <c r="I941" s="113" t="s">
        <v>292</v>
      </c>
      <c r="J941" s="108" t="str">
        <f t="shared" si="14"/>
        <v>092906</v>
      </c>
    </row>
    <row r="942" spans="1:10" ht="15" customHeight="1" x14ac:dyDescent="0.25">
      <c r="A942" t="str">
        <f>Table1[[#This Row],[District name]]&amp;" "&amp;Table1[[#This Row],[District number]]</f>
        <v>SABINE PASS ISD 123913</v>
      </c>
      <c r="B942" t="s">
        <v>4839</v>
      </c>
      <c r="C942" s="1"/>
      <c r="D942" t="s">
        <v>4840</v>
      </c>
      <c r="E942" s="2" t="s">
        <v>706</v>
      </c>
      <c r="F942" s="137" t="s">
        <v>2343</v>
      </c>
      <c r="G942" s="137" t="s">
        <v>2344</v>
      </c>
      <c r="H942" s="137" t="s">
        <v>4841</v>
      </c>
      <c r="I942" s="113" t="s">
        <v>292</v>
      </c>
      <c r="J942" s="108" t="str">
        <f t="shared" si="14"/>
        <v>123913</v>
      </c>
    </row>
    <row r="943" spans="1:10" ht="15" customHeight="1" x14ac:dyDescent="0.25">
      <c r="A943" t="str">
        <f>Table1[[#This Row],[District name]]&amp;" "&amp;Table1[[#This Row],[District number]]</f>
        <v>SAINT JO ISD 169911</v>
      </c>
      <c r="B943" t="s">
        <v>4842</v>
      </c>
      <c r="C943" s="1"/>
      <c r="D943" t="s">
        <v>4843</v>
      </c>
      <c r="E943" s="2" t="s">
        <v>541</v>
      </c>
      <c r="F943" s="137" t="s">
        <v>4095</v>
      </c>
      <c r="G943" s="137" t="s">
        <v>4096</v>
      </c>
      <c r="H943" s="137" t="s">
        <v>4097</v>
      </c>
      <c r="I943" s="113" t="s">
        <v>292</v>
      </c>
      <c r="J943" s="108" t="str">
        <f t="shared" si="14"/>
        <v>169911</v>
      </c>
    </row>
    <row r="944" spans="1:10" ht="15" customHeight="1" x14ac:dyDescent="0.25">
      <c r="A944" t="str">
        <f>Table1[[#This Row],[District name]]&amp;" "&amp;Table1[[#This Row],[District number]]</f>
        <v>SALADO ISD 014908</v>
      </c>
      <c r="B944" t="s">
        <v>4844</v>
      </c>
      <c r="C944" s="1"/>
      <c r="D944" t="s">
        <v>4845</v>
      </c>
      <c r="E944" s="2" t="s">
        <v>301</v>
      </c>
      <c r="F944" s="137" t="s">
        <v>4846</v>
      </c>
      <c r="G944" s="137" t="s">
        <v>4847</v>
      </c>
      <c r="H944" s="137" t="s">
        <v>4848</v>
      </c>
      <c r="I944" s="113" t="s">
        <v>292</v>
      </c>
      <c r="J944" s="108" t="str">
        <f t="shared" si="14"/>
        <v>014908</v>
      </c>
    </row>
    <row r="945" spans="1:10" ht="15" customHeight="1" x14ac:dyDescent="0.25">
      <c r="A945" t="str">
        <f>Table1[[#This Row],[District name]]&amp;" "&amp;Table1[[#This Row],[District number]]</f>
        <v>SALTILLO ISD 112909</v>
      </c>
      <c r="B945" t="s">
        <v>4849</v>
      </c>
      <c r="C945" s="1"/>
      <c r="D945" t="s">
        <v>4850</v>
      </c>
      <c r="E945" s="2" t="s">
        <v>587</v>
      </c>
      <c r="F945" s="137" t="s">
        <v>2050</v>
      </c>
      <c r="G945" s="137" t="s">
        <v>2051</v>
      </c>
      <c r="H945" s="137" t="s">
        <v>2052</v>
      </c>
      <c r="I945" s="113" t="s">
        <v>292</v>
      </c>
      <c r="J945" s="108" t="str">
        <f t="shared" si="14"/>
        <v>112909</v>
      </c>
    </row>
    <row r="946" spans="1:10" ht="15" customHeight="1" x14ac:dyDescent="0.25">
      <c r="A946" t="str">
        <f>Table1[[#This Row],[District name]]&amp;" "&amp;Table1[[#This Row],[District number]]</f>
        <v>SAM HOUSTON STATE UNIVERSITY CHARTER SCHOOL 236802</v>
      </c>
      <c r="B946" t="s">
        <v>4851</v>
      </c>
      <c r="C946" s="1"/>
      <c r="D946" t="s">
        <v>4852</v>
      </c>
      <c r="E946" s="2" t="s">
        <v>480</v>
      </c>
      <c r="F946" s="137" t="s">
        <v>4853</v>
      </c>
      <c r="G946" s="137" t="s">
        <v>4854</v>
      </c>
      <c r="H946" s="137" t="s">
        <v>3580</v>
      </c>
      <c r="I946" s="113" t="s">
        <v>292</v>
      </c>
      <c r="J946" s="108" t="str">
        <f t="shared" si="14"/>
        <v>236802</v>
      </c>
    </row>
    <row r="947" spans="1:10" ht="15" customHeight="1" x14ac:dyDescent="0.25">
      <c r="A947" t="str">
        <f>Table1[[#This Row],[District name]]&amp;" "&amp;Table1[[#This Row],[District number]]</f>
        <v>SAM RAYBURN ISD 074917</v>
      </c>
      <c r="B947" t="s">
        <v>4855</v>
      </c>
      <c r="C947" s="1"/>
      <c r="D947" t="s">
        <v>4856</v>
      </c>
      <c r="E947" s="2" t="s">
        <v>288</v>
      </c>
      <c r="F947" s="137" t="s">
        <v>4857</v>
      </c>
      <c r="G947" s="137" t="s">
        <v>4858</v>
      </c>
      <c r="H947" s="137" t="s">
        <v>4859</v>
      </c>
      <c r="I947" s="113" t="s">
        <v>292</v>
      </c>
      <c r="J947" s="108" t="str">
        <f t="shared" si="14"/>
        <v>074917</v>
      </c>
    </row>
    <row r="948" spans="1:10" ht="15" customHeight="1" x14ac:dyDescent="0.25">
      <c r="A948" t="str">
        <f>Table1[[#This Row],[District name]]&amp;" "&amp;Table1[[#This Row],[District number]]</f>
        <v>SAN ANGELO ISD 226903</v>
      </c>
      <c r="B948" t="s">
        <v>4860</v>
      </c>
      <c r="C948" s="1"/>
      <c r="D948" t="s">
        <v>4861</v>
      </c>
      <c r="E948" s="2" t="s">
        <v>650</v>
      </c>
      <c r="F948" s="137" t="s">
        <v>3245</v>
      </c>
      <c r="G948" s="137" t="s">
        <v>4862</v>
      </c>
      <c r="H948" s="137" t="s">
        <v>4863</v>
      </c>
      <c r="I948" s="113" t="s">
        <v>292</v>
      </c>
      <c r="J948" s="108" t="str">
        <f t="shared" si="14"/>
        <v>226903</v>
      </c>
    </row>
    <row r="949" spans="1:10" ht="15" customHeight="1" x14ac:dyDescent="0.25">
      <c r="A949" t="str">
        <f>Table1[[#This Row],[District name]]&amp;" "&amp;Table1[[#This Row],[District number]]</f>
        <v>SAN ANTONIO ISD 015907</v>
      </c>
      <c r="B949" t="s">
        <v>4864</v>
      </c>
      <c r="C949" s="1"/>
      <c r="D949" t="s">
        <v>4865</v>
      </c>
      <c r="E949" s="2" t="s">
        <v>376</v>
      </c>
      <c r="F949" s="137" t="s">
        <v>4866</v>
      </c>
      <c r="G949" s="137" t="s">
        <v>4867</v>
      </c>
      <c r="H949" s="137" t="s">
        <v>4868</v>
      </c>
      <c r="I949" s="113" t="s">
        <v>292</v>
      </c>
      <c r="J949" s="108" t="str">
        <f t="shared" si="14"/>
        <v>015907</v>
      </c>
    </row>
    <row r="950" spans="1:10" ht="15" customHeight="1" x14ac:dyDescent="0.25">
      <c r="A950" t="str">
        <f>Table1[[#This Row],[District name]]&amp;" "&amp;Table1[[#This Row],[District number]]</f>
        <v>SAN ANTONIO PREPARATORY SCHOOLS 015840</v>
      </c>
      <c r="B950" t="s">
        <v>4869</v>
      </c>
      <c r="C950" s="1"/>
      <c r="D950" t="s">
        <v>4870</v>
      </c>
      <c r="E950" s="2" t="s">
        <v>376</v>
      </c>
      <c r="F950" s="137" t="s">
        <v>4871</v>
      </c>
      <c r="G950" s="137" t="s">
        <v>542</v>
      </c>
      <c r="H950" s="137" t="s">
        <v>543</v>
      </c>
      <c r="I950" s="113" t="s">
        <v>292</v>
      </c>
      <c r="J950" s="108" t="str">
        <f t="shared" si="14"/>
        <v>015840</v>
      </c>
    </row>
    <row r="951" spans="1:10" ht="15" customHeight="1" x14ac:dyDescent="0.25">
      <c r="A951" t="str">
        <f>Table1[[#This Row],[District name]]&amp;" "&amp;Table1[[#This Row],[District number]]</f>
        <v>SAN AUGUSTINE ISD 203901</v>
      </c>
      <c r="B951" t="s">
        <v>4872</v>
      </c>
      <c r="C951" s="1"/>
      <c r="D951" t="s">
        <v>4873</v>
      </c>
      <c r="E951" s="2" t="s">
        <v>383</v>
      </c>
      <c r="F951" s="137" t="s">
        <v>4874</v>
      </c>
      <c r="G951" s="137" t="s">
        <v>4875</v>
      </c>
      <c r="H951" s="137" t="s">
        <v>4876</v>
      </c>
      <c r="I951" s="113" t="s">
        <v>292</v>
      </c>
      <c r="J951" s="108" t="str">
        <f t="shared" si="14"/>
        <v>203901</v>
      </c>
    </row>
    <row r="952" spans="1:10" ht="15" customHeight="1" x14ac:dyDescent="0.25">
      <c r="A952" t="str">
        <f>Table1[[#This Row],[District name]]&amp;" "&amp;Table1[[#This Row],[District number]]</f>
        <v>SAN BENITO CISD 031912</v>
      </c>
      <c r="B952" t="s">
        <v>4877</v>
      </c>
      <c r="C952" s="1"/>
      <c r="D952" t="s">
        <v>4878</v>
      </c>
      <c r="E952" s="2" t="s">
        <v>982</v>
      </c>
      <c r="F952" s="137" t="s">
        <v>4879</v>
      </c>
      <c r="G952" s="137" t="s">
        <v>4880</v>
      </c>
      <c r="H952" s="137" t="s">
        <v>4881</v>
      </c>
      <c r="I952" s="113" t="s">
        <v>292</v>
      </c>
      <c r="J952" s="108" t="str">
        <f t="shared" si="14"/>
        <v>031912</v>
      </c>
    </row>
    <row r="953" spans="1:10" ht="15" customHeight="1" x14ac:dyDescent="0.25">
      <c r="A953" t="str">
        <f>Table1[[#This Row],[District name]]&amp;" "&amp;Table1[[#This Row],[District number]]</f>
        <v>SAN DIEGO ISD 066902</v>
      </c>
      <c r="B953" t="s">
        <v>4882</v>
      </c>
      <c r="C953" s="1"/>
      <c r="D953" t="s">
        <v>4883</v>
      </c>
      <c r="E953" s="2" t="s">
        <v>369</v>
      </c>
      <c r="F953" s="137" t="s">
        <v>4884</v>
      </c>
      <c r="G953" s="137" t="s">
        <v>4885</v>
      </c>
      <c r="H953" s="137" t="s">
        <v>4886</v>
      </c>
      <c r="I953" s="113" t="s">
        <v>292</v>
      </c>
      <c r="J953" s="108" t="str">
        <f t="shared" si="14"/>
        <v>066902</v>
      </c>
    </row>
    <row r="954" spans="1:10" ht="15" customHeight="1" x14ac:dyDescent="0.25">
      <c r="A954" t="str">
        <f>Table1[[#This Row],[District name]]&amp;" "&amp;Table1[[#This Row],[District number]]</f>
        <v>SAN ELIZARIO ISD 071904</v>
      </c>
      <c r="B954" t="s">
        <v>4887</v>
      </c>
      <c r="C954" s="1"/>
      <c r="D954" t="s">
        <v>4888</v>
      </c>
      <c r="E954" s="2" t="s">
        <v>507</v>
      </c>
      <c r="F954" s="137" t="s">
        <v>4889</v>
      </c>
      <c r="G954" s="137" t="s">
        <v>4890</v>
      </c>
      <c r="H954" s="137" t="s">
        <v>4891</v>
      </c>
      <c r="I954" s="113" t="s">
        <v>292</v>
      </c>
      <c r="J954" s="108" t="str">
        <f t="shared" si="14"/>
        <v>071904</v>
      </c>
    </row>
    <row r="955" spans="1:10" ht="15" customHeight="1" x14ac:dyDescent="0.25">
      <c r="A955" t="str">
        <f>Table1[[#This Row],[District name]]&amp;" "&amp;Table1[[#This Row],[District number]]</f>
        <v>SAN FELIPE-DEL RIO CISD 233901</v>
      </c>
      <c r="B955" t="s">
        <v>4892</v>
      </c>
      <c r="C955" s="1"/>
      <c r="D955" t="s">
        <v>4893</v>
      </c>
      <c r="E955" s="2" t="s">
        <v>650</v>
      </c>
      <c r="F955" s="137" t="s">
        <v>4894</v>
      </c>
      <c r="G955" s="137" t="s">
        <v>4895</v>
      </c>
      <c r="H955" s="137" t="s">
        <v>4896</v>
      </c>
      <c r="I955" s="113" t="s">
        <v>292</v>
      </c>
      <c r="J955" s="108" t="str">
        <f t="shared" si="14"/>
        <v>233901</v>
      </c>
    </row>
    <row r="956" spans="1:10" ht="15" customHeight="1" x14ac:dyDescent="0.25">
      <c r="A956" t="str">
        <f>Table1[[#This Row],[District name]]&amp;" "&amp;Table1[[#This Row],[District number]]</f>
        <v>SAN ISIDRO ISD 214902</v>
      </c>
      <c r="B956" t="s">
        <v>4897</v>
      </c>
      <c r="C956" s="1"/>
      <c r="D956" t="s">
        <v>4898</v>
      </c>
      <c r="E956" s="2" t="s">
        <v>982</v>
      </c>
      <c r="F956" s="137" t="s">
        <v>4899</v>
      </c>
      <c r="G956" s="137" t="s">
        <v>4900</v>
      </c>
      <c r="H956" s="137" t="s">
        <v>4901</v>
      </c>
      <c r="I956" s="113" t="s">
        <v>292</v>
      </c>
      <c r="J956" s="108" t="str">
        <f t="shared" si="14"/>
        <v>214902</v>
      </c>
    </row>
    <row r="957" spans="1:10" ht="15" customHeight="1" x14ac:dyDescent="0.25">
      <c r="A957" t="str">
        <f>Table1[[#This Row],[District name]]&amp;" "&amp;Table1[[#This Row],[District number]]</f>
        <v>SAN MARCOS CISD 105902</v>
      </c>
      <c r="B957" t="s">
        <v>4902</v>
      </c>
      <c r="C957" s="1"/>
      <c r="D957" t="s">
        <v>4903</v>
      </c>
      <c r="E957" s="2" t="s">
        <v>598</v>
      </c>
      <c r="F957" s="137" t="s">
        <v>1870</v>
      </c>
      <c r="G957" s="137" t="s">
        <v>1871</v>
      </c>
      <c r="H957" s="137" t="s">
        <v>1872</v>
      </c>
      <c r="I957" s="113" t="s">
        <v>292</v>
      </c>
      <c r="J957" s="108" t="str">
        <f t="shared" si="14"/>
        <v>105902</v>
      </c>
    </row>
    <row r="958" spans="1:10" ht="15" customHeight="1" x14ac:dyDescent="0.25">
      <c r="A958" t="str">
        <f>Table1[[#This Row],[District name]]&amp;" "&amp;Table1[[#This Row],[District number]]</f>
        <v>SAN PERLITA ISD 245904</v>
      </c>
      <c r="B958" t="s">
        <v>4904</v>
      </c>
      <c r="C958" s="1"/>
      <c r="D958" t="s">
        <v>4905</v>
      </c>
      <c r="E958" s="2" t="s">
        <v>982</v>
      </c>
      <c r="F958" s="137" t="s">
        <v>4906</v>
      </c>
      <c r="G958" s="137" t="s">
        <v>1155</v>
      </c>
      <c r="H958" s="137" t="s">
        <v>4907</v>
      </c>
      <c r="I958" s="113" t="s">
        <v>292</v>
      </c>
      <c r="J958" s="108" t="str">
        <f t="shared" si="14"/>
        <v>245904</v>
      </c>
    </row>
    <row r="959" spans="1:10" ht="15" customHeight="1" x14ac:dyDescent="0.25">
      <c r="A959" t="str">
        <f>Table1[[#This Row],[District name]]&amp;" "&amp;Table1[[#This Row],[District number]]</f>
        <v>SAN SABA ISD 206901</v>
      </c>
      <c r="B959" t="s">
        <v>4908</v>
      </c>
      <c r="C959" s="1"/>
      <c r="D959" t="s">
        <v>4909</v>
      </c>
      <c r="E959" s="2" t="s">
        <v>650</v>
      </c>
      <c r="F959" s="137" t="s">
        <v>4910</v>
      </c>
      <c r="G959" s="137" t="s">
        <v>4911</v>
      </c>
      <c r="H959" s="137" t="s">
        <v>4912</v>
      </c>
      <c r="I959" s="113" t="s">
        <v>292</v>
      </c>
      <c r="J959" s="108" t="str">
        <f t="shared" si="14"/>
        <v>206901</v>
      </c>
    </row>
    <row r="960" spans="1:10" ht="15" customHeight="1" x14ac:dyDescent="0.25">
      <c r="A960" t="str">
        <f>Table1[[#This Row],[District name]]&amp;" "&amp;Table1[[#This Row],[District number]]</f>
        <v>SAN VICENTE ISD 022903</v>
      </c>
      <c r="B960" t="s">
        <v>4913</v>
      </c>
      <c r="C960" s="1"/>
      <c r="D960" t="s">
        <v>4914</v>
      </c>
      <c r="E960" s="2" t="s">
        <v>430</v>
      </c>
      <c r="F960" s="137" t="s">
        <v>1830</v>
      </c>
      <c r="G960" s="137" t="s">
        <v>1831</v>
      </c>
      <c r="H960" s="137" t="s">
        <v>1832</v>
      </c>
      <c r="I960" s="113" t="s">
        <v>292</v>
      </c>
      <c r="J960" s="108" t="str">
        <f t="shared" si="14"/>
        <v>022903</v>
      </c>
    </row>
    <row r="961" spans="1:10" ht="15" customHeight="1" x14ac:dyDescent="0.25">
      <c r="A961" t="str">
        <f>Table1[[#This Row],[District name]]&amp;" "&amp;Table1[[#This Row],[District number]]</f>
        <v>SANDS CISD 058909</v>
      </c>
      <c r="B961" t="s">
        <v>4915</v>
      </c>
      <c r="C961" s="1"/>
      <c r="D961" t="s">
        <v>4916</v>
      </c>
      <c r="E961" s="2" t="s">
        <v>308</v>
      </c>
      <c r="F961" s="137" t="s">
        <v>4917</v>
      </c>
      <c r="G961" s="137" t="s">
        <v>4918</v>
      </c>
      <c r="H961" s="137" t="s">
        <v>4919</v>
      </c>
      <c r="I961" s="113" t="s">
        <v>292</v>
      </c>
      <c r="J961" s="108" t="str">
        <f t="shared" si="14"/>
        <v>058909</v>
      </c>
    </row>
    <row r="962" spans="1:10" ht="15" customHeight="1" x14ac:dyDescent="0.25">
      <c r="A962" t="str">
        <f>Table1[[#This Row],[District name]]&amp;" "&amp;Table1[[#This Row],[District number]]</f>
        <v>SANFORD-FRITCH ISD 117903</v>
      </c>
      <c r="B962" t="s">
        <v>4920</v>
      </c>
      <c r="C962" s="1"/>
      <c r="D962" t="s">
        <v>4921</v>
      </c>
      <c r="E962" s="2" t="s">
        <v>356</v>
      </c>
      <c r="F962" s="137" t="s">
        <v>4922</v>
      </c>
      <c r="G962" s="137" t="s">
        <v>4923</v>
      </c>
      <c r="H962" s="137" t="s">
        <v>4924</v>
      </c>
      <c r="I962" s="113" t="s">
        <v>292</v>
      </c>
      <c r="J962" s="108" t="str">
        <f t="shared" si="14"/>
        <v>117903</v>
      </c>
    </row>
    <row r="963" spans="1:10" ht="15" customHeight="1" x14ac:dyDescent="0.25">
      <c r="A963" t="str">
        <f>Table1[[#This Row],[District name]]&amp;" "&amp;Table1[[#This Row],[District number]]</f>
        <v>SANGER ISD 061908</v>
      </c>
      <c r="B963" t="s">
        <v>4925</v>
      </c>
      <c r="C963" s="1"/>
      <c r="D963" t="s">
        <v>4926</v>
      </c>
      <c r="E963" s="2" t="s">
        <v>402</v>
      </c>
      <c r="F963" s="137" t="s">
        <v>4927</v>
      </c>
      <c r="G963" s="137" t="s">
        <v>4928</v>
      </c>
      <c r="H963" s="137" t="s">
        <v>4929</v>
      </c>
      <c r="I963" s="113" t="s">
        <v>292</v>
      </c>
      <c r="J963" s="108" t="str">
        <f t="shared" si="14"/>
        <v>061908</v>
      </c>
    </row>
    <row r="964" spans="1:10" ht="15" customHeight="1" x14ac:dyDescent="0.25">
      <c r="A964" t="str">
        <f>Table1[[#This Row],[District name]]&amp;" "&amp;Table1[[#This Row],[District number]]</f>
        <v>SANTA ANNA ISD 042903</v>
      </c>
      <c r="B964" t="s">
        <v>4930</v>
      </c>
      <c r="C964" s="1"/>
      <c r="D964" t="s">
        <v>4931</v>
      </c>
      <c r="E964" s="2" t="s">
        <v>650</v>
      </c>
      <c r="F964" s="137" t="s">
        <v>4932</v>
      </c>
      <c r="G964" s="137" t="s">
        <v>4933</v>
      </c>
      <c r="H964" s="137" t="s">
        <v>4934</v>
      </c>
      <c r="I964" s="113" t="s">
        <v>292</v>
      </c>
      <c r="J964" s="108" t="str">
        <f t="shared" si="14"/>
        <v>042903</v>
      </c>
    </row>
    <row r="965" spans="1:10" ht="15" customHeight="1" x14ac:dyDescent="0.25">
      <c r="A965" t="str">
        <f>Table1[[#This Row],[District name]]&amp;" "&amp;Table1[[#This Row],[District number]]</f>
        <v>SANTA FE ISD 084909</v>
      </c>
      <c r="B965" t="s">
        <v>4935</v>
      </c>
      <c r="C965" s="1"/>
      <c r="D965" t="s">
        <v>4936</v>
      </c>
      <c r="E965" s="2" t="s">
        <v>295</v>
      </c>
      <c r="F965" s="137" t="s">
        <v>4937</v>
      </c>
      <c r="G965" s="137" t="s">
        <v>4938</v>
      </c>
      <c r="H965" s="137" t="s">
        <v>4939</v>
      </c>
      <c r="I965" s="113" t="s">
        <v>292</v>
      </c>
      <c r="J965" s="108" t="str">
        <f t="shared" si="14"/>
        <v>084909</v>
      </c>
    </row>
    <row r="966" spans="1:10" ht="15" customHeight="1" x14ac:dyDescent="0.25">
      <c r="A966" t="str">
        <f>Table1[[#This Row],[District name]]&amp;" "&amp;Table1[[#This Row],[District number]]</f>
        <v>SANTA GERTRUDIS ISD 137904</v>
      </c>
      <c r="B966" t="s">
        <v>4940</v>
      </c>
      <c r="C966" s="1"/>
      <c r="D966" t="s">
        <v>4941</v>
      </c>
      <c r="E966" s="2" t="s">
        <v>369</v>
      </c>
      <c r="F966" s="137" t="s">
        <v>4942</v>
      </c>
      <c r="G966" s="137" t="s">
        <v>4943</v>
      </c>
      <c r="H966" s="137" t="s">
        <v>4944</v>
      </c>
      <c r="I966" s="113" t="s">
        <v>292</v>
      </c>
      <c r="J966" s="108" t="str">
        <f t="shared" si="14"/>
        <v>137904</v>
      </c>
    </row>
    <row r="967" spans="1:10" ht="15" customHeight="1" x14ac:dyDescent="0.25">
      <c r="A967" t="str">
        <f>Table1[[#This Row],[District name]]&amp;" "&amp;Table1[[#This Row],[District number]]</f>
        <v>SANTA MARIA ISD 031913</v>
      </c>
      <c r="B967" t="s">
        <v>4945</v>
      </c>
      <c r="C967" s="1"/>
      <c r="D967" t="s">
        <v>4946</v>
      </c>
      <c r="E967" s="2" t="s">
        <v>982</v>
      </c>
      <c r="F967" s="137" t="s">
        <v>4947</v>
      </c>
      <c r="G967" s="137" t="s">
        <v>4948</v>
      </c>
      <c r="H967" s="137" t="s">
        <v>4949</v>
      </c>
      <c r="I967" s="113" t="s">
        <v>292</v>
      </c>
      <c r="J967" s="108" t="str">
        <f t="shared" ref="J967:J1030" si="15">LEFT(B967,6)</f>
        <v>031913</v>
      </c>
    </row>
    <row r="968" spans="1:10" ht="15" customHeight="1" x14ac:dyDescent="0.25">
      <c r="A968" t="str">
        <f>Table1[[#This Row],[District name]]&amp;" "&amp;Table1[[#This Row],[District number]]</f>
        <v>SANTA ROSA ISD 031914</v>
      </c>
      <c r="B968" t="s">
        <v>4950</v>
      </c>
      <c r="C968" s="1"/>
      <c r="D968" t="s">
        <v>4951</v>
      </c>
      <c r="E968" s="2" t="s">
        <v>982</v>
      </c>
      <c r="F968" s="137" t="s">
        <v>4952</v>
      </c>
      <c r="G968" s="137" t="s">
        <v>4953</v>
      </c>
      <c r="H968" s="137" t="s">
        <v>4954</v>
      </c>
      <c r="I968" s="113" t="s">
        <v>292</v>
      </c>
      <c r="J968" s="108" t="str">
        <f t="shared" si="15"/>
        <v>031914</v>
      </c>
    </row>
    <row r="969" spans="1:10" ht="15" customHeight="1" x14ac:dyDescent="0.25">
      <c r="A969" t="str">
        <f>Table1[[#This Row],[District name]]&amp;" "&amp;Table1[[#This Row],[District number]]</f>
        <v>SANTO ISD 182904</v>
      </c>
      <c r="B969" t="s">
        <v>4955</v>
      </c>
      <c r="C969" s="1"/>
      <c r="D969" t="s">
        <v>4956</v>
      </c>
      <c r="E969" s="2" t="s">
        <v>402</v>
      </c>
      <c r="F969" s="137" t="s">
        <v>4957</v>
      </c>
      <c r="G969" s="137" t="s">
        <v>4958</v>
      </c>
      <c r="H969" s="137" t="s">
        <v>4959</v>
      </c>
      <c r="I969" s="113" t="s">
        <v>292</v>
      </c>
      <c r="J969" s="108" t="str">
        <f t="shared" si="15"/>
        <v>182904</v>
      </c>
    </row>
    <row r="970" spans="1:10" ht="15" customHeight="1" x14ac:dyDescent="0.25">
      <c r="A970" t="str">
        <f>Table1[[#This Row],[District name]]&amp;" "&amp;Table1[[#This Row],[District number]]</f>
        <v>SAVOY ISD 074911</v>
      </c>
      <c r="B970" t="s">
        <v>4960</v>
      </c>
      <c r="C970" s="1"/>
      <c r="D970" t="s">
        <v>4961</v>
      </c>
      <c r="E970" s="2" t="s">
        <v>288</v>
      </c>
      <c r="F970" s="137" t="s">
        <v>4962</v>
      </c>
      <c r="G970" s="137" t="s">
        <v>4963</v>
      </c>
      <c r="H970" s="137" t="s">
        <v>4964</v>
      </c>
      <c r="I970" s="113" t="s">
        <v>292</v>
      </c>
      <c r="J970" s="108" t="str">
        <f t="shared" si="15"/>
        <v>074911</v>
      </c>
    </row>
    <row r="971" spans="1:10" ht="15" customHeight="1" x14ac:dyDescent="0.25">
      <c r="A971" t="str">
        <f>Table1[[#This Row],[District name]]&amp;" "&amp;Table1[[#This Row],[District number]]</f>
        <v>SCHERTZ-CIBOLO-U CITY ISD 094902</v>
      </c>
      <c r="B971" t="s">
        <v>4965</v>
      </c>
      <c r="C971" s="1"/>
      <c r="D971" t="s">
        <v>4966</v>
      </c>
      <c r="E971" s="2" t="s">
        <v>598</v>
      </c>
      <c r="F971" s="137" t="s">
        <v>4967</v>
      </c>
      <c r="G971" s="137" t="s">
        <v>2957</v>
      </c>
      <c r="H971" s="137" t="s">
        <v>4968</v>
      </c>
      <c r="I971" s="113" t="s">
        <v>292</v>
      </c>
      <c r="J971" s="108" t="str">
        <f t="shared" si="15"/>
        <v>094902</v>
      </c>
    </row>
    <row r="972" spans="1:10" ht="15" customHeight="1" x14ac:dyDescent="0.25">
      <c r="A972" t="str">
        <f>Table1[[#This Row],[District name]]&amp;" "&amp;Table1[[#This Row],[District number]]</f>
        <v>SCHLEICHER ISD 207901</v>
      </c>
      <c r="B972" t="s">
        <v>4969</v>
      </c>
      <c r="C972" s="1"/>
      <c r="D972" t="s">
        <v>4970</v>
      </c>
      <c r="E972" s="2" t="s">
        <v>650</v>
      </c>
      <c r="F972" s="137" t="s">
        <v>4971</v>
      </c>
      <c r="G972" s="137" t="s">
        <v>4972</v>
      </c>
      <c r="H972" s="137" t="s">
        <v>4973</v>
      </c>
      <c r="I972" s="113" t="s">
        <v>292</v>
      </c>
      <c r="J972" s="108" t="str">
        <f t="shared" si="15"/>
        <v>207901</v>
      </c>
    </row>
    <row r="973" spans="1:10" ht="15" customHeight="1" x14ac:dyDescent="0.25">
      <c r="A973" t="str">
        <f>Table1[[#This Row],[District name]]&amp;" "&amp;Table1[[#This Row],[District number]]</f>
        <v>SCHOOL OF SCIENCE AND TECHNOLOGY 015827</v>
      </c>
      <c r="B973" t="s">
        <v>4974</v>
      </c>
      <c r="C973" s="1"/>
      <c r="D973" t="s">
        <v>4975</v>
      </c>
      <c r="E973" s="2" t="s">
        <v>376</v>
      </c>
      <c r="F973" s="137" t="s">
        <v>4976</v>
      </c>
      <c r="G973" s="137" t="s">
        <v>4977</v>
      </c>
      <c r="H973" s="137" t="s">
        <v>4978</v>
      </c>
      <c r="I973" s="113" t="s">
        <v>292</v>
      </c>
      <c r="J973" s="108" t="str">
        <f t="shared" si="15"/>
        <v>015827</v>
      </c>
    </row>
    <row r="974" spans="1:10" ht="15" customHeight="1" x14ac:dyDescent="0.25">
      <c r="A974" t="str">
        <f>Table1[[#This Row],[District name]]&amp;" "&amp;Table1[[#This Row],[District number]]</f>
        <v>SCHOOL OF SCIENCE AND TECHNOLOGY DISCOVERY 015831</v>
      </c>
      <c r="B974" t="s">
        <v>4979</v>
      </c>
      <c r="C974" s="1"/>
      <c r="D974" t="s">
        <v>4980</v>
      </c>
      <c r="E974" s="2" t="s">
        <v>376</v>
      </c>
      <c r="F974" s="137" t="s">
        <v>4981</v>
      </c>
      <c r="G974" s="137" t="s">
        <v>4982</v>
      </c>
      <c r="H974" s="137" t="s">
        <v>4983</v>
      </c>
      <c r="I974" s="113" t="s">
        <v>292</v>
      </c>
      <c r="J974" s="108" t="str">
        <f t="shared" si="15"/>
        <v>015831</v>
      </c>
    </row>
    <row r="975" spans="1:10" ht="15" customHeight="1" x14ac:dyDescent="0.25">
      <c r="A975" t="str">
        <f>Table1[[#This Row],[District name]]&amp;" "&amp;Table1[[#This Row],[District number]]</f>
        <v>SCHULENBURG ISD 075903</v>
      </c>
      <c r="B975" t="s">
        <v>4984</v>
      </c>
      <c r="C975" s="1"/>
      <c r="D975" t="s">
        <v>4985</v>
      </c>
      <c r="E975" s="2" t="s">
        <v>598</v>
      </c>
      <c r="F975" s="137" t="s">
        <v>4986</v>
      </c>
      <c r="G975" s="137" t="s">
        <v>4448</v>
      </c>
      <c r="H975" s="137" t="s">
        <v>4987</v>
      </c>
      <c r="I975" s="113" t="s">
        <v>292</v>
      </c>
      <c r="J975" s="108" t="str">
        <f t="shared" si="15"/>
        <v>075903</v>
      </c>
    </row>
    <row r="976" spans="1:10" ht="15" customHeight="1" x14ac:dyDescent="0.25">
      <c r="A976" t="str">
        <f>Table1[[#This Row],[District name]]&amp;" "&amp;Table1[[#This Row],[District number]]</f>
        <v>SCURRY-ROSSER ISD 129910</v>
      </c>
      <c r="B976" t="s">
        <v>4988</v>
      </c>
      <c r="C976" s="1"/>
      <c r="D976" t="s">
        <v>4989</v>
      </c>
      <c r="E976" s="2" t="s">
        <v>288</v>
      </c>
      <c r="F976" s="137" t="s">
        <v>4990</v>
      </c>
      <c r="G976" s="137" t="s">
        <v>4991</v>
      </c>
      <c r="H976" s="137" t="s">
        <v>4992</v>
      </c>
      <c r="I976" s="113" t="s">
        <v>292</v>
      </c>
      <c r="J976" s="108" t="str">
        <f t="shared" si="15"/>
        <v>129910</v>
      </c>
    </row>
    <row r="977" spans="1:10" ht="15" customHeight="1" x14ac:dyDescent="0.25">
      <c r="A977" t="str">
        <f>Table1[[#This Row],[District name]]&amp;" "&amp;Table1[[#This Row],[District number]]</f>
        <v>SEAGRAVES ISD 083901</v>
      </c>
      <c r="B977" t="s">
        <v>4993</v>
      </c>
      <c r="C977" s="1"/>
      <c r="D977" t="s">
        <v>4994</v>
      </c>
      <c r="E977" s="2" t="s">
        <v>308</v>
      </c>
      <c r="F977" s="137" t="s">
        <v>1916</v>
      </c>
      <c r="G977" s="137" t="s">
        <v>4995</v>
      </c>
      <c r="H977" s="137" t="s">
        <v>4996</v>
      </c>
      <c r="I977" s="113" t="s">
        <v>292</v>
      </c>
      <c r="J977" s="108" t="str">
        <f t="shared" si="15"/>
        <v>083901</v>
      </c>
    </row>
    <row r="978" spans="1:10" ht="15" customHeight="1" x14ac:dyDescent="0.25">
      <c r="A978" t="str">
        <f>Table1[[#This Row],[District name]]&amp;" "&amp;Table1[[#This Row],[District number]]</f>
        <v>SEALY ISD 008902</v>
      </c>
      <c r="B978" t="s">
        <v>4997</v>
      </c>
      <c r="C978" s="1"/>
      <c r="D978" t="s">
        <v>4998</v>
      </c>
      <c r="E978" s="2" t="s">
        <v>480</v>
      </c>
      <c r="F978" s="137" t="s">
        <v>4780</v>
      </c>
      <c r="G978" s="137" t="s">
        <v>4999</v>
      </c>
      <c r="H978" s="137" t="s">
        <v>5000</v>
      </c>
      <c r="I978" s="113" t="s">
        <v>292</v>
      </c>
      <c r="J978" s="108" t="str">
        <f t="shared" si="15"/>
        <v>008902</v>
      </c>
    </row>
    <row r="979" spans="1:10" ht="15" customHeight="1" x14ac:dyDescent="0.25">
      <c r="A979" t="str">
        <f>Table1[[#This Row],[District name]]&amp;" "&amp;Table1[[#This Row],[District number]]</f>
        <v>SEASHORE CHARTER SCHOOLS 178808</v>
      </c>
      <c r="B979" t="s">
        <v>5001</v>
      </c>
      <c r="C979" s="1"/>
      <c r="D979" t="s">
        <v>5002</v>
      </c>
      <c r="E979" s="2" t="s">
        <v>369</v>
      </c>
      <c r="F979" s="137" t="s">
        <v>4871</v>
      </c>
      <c r="G979" s="137" t="s">
        <v>542</v>
      </c>
      <c r="H979" s="137" t="s">
        <v>543</v>
      </c>
      <c r="I979" s="113" t="s">
        <v>292</v>
      </c>
      <c r="J979" s="108" t="str">
        <f t="shared" si="15"/>
        <v>178808</v>
      </c>
    </row>
    <row r="980" spans="1:10" ht="15" customHeight="1" x14ac:dyDescent="0.25">
      <c r="A980" t="str">
        <f>Table1[[#This Row],[District name]]&amp;" "&amp;Table1[[#This Row],[District number]]</f>
        <v>SEGUIN ISD 094901</v>
      </c>
      <c r="B980" t="s">
        <v>5003</v>
      </c>
      <c r="C980" s="1"/>
      <c r="D980" t="s">
        <v>5004</v>
      </c>
      <c r="E980" s="2" t="s">
        <v>598</v>
      </c>
      <c r="F980" s="137" t="s">
        <v>5005</v>
      </c>
      <c r="G980" s="137" t="s">
        <v>5006</v>
      </c>
      <c r="H980" s="137" t="s">
        <v>5007</v>
      </c>
      <c r="I980" s="113" t="s">
        <v>292</v>
      </c>
      <c r="J980" s="108" t="str">
        <f t="shared" si="15"/>
        <v>094901</v>
      </c>
    </row>
    <row r="981" spans="1:10" ht="15" customHeight="1" x14ac:dyDescent="0.25">
      <c r="A981" t="str">
        <f>Table1[[#This Row],[District name]]&amp;" "&amp;Table1[[#This Row],[District number]]</f>
        <v>SEMINOLE ISD 083903</v>
      </c>
      <c r="B981" t="s">
        <v>5008</v>
      </c>
      <c r="C981" s="1"/>
      <c r="D981" t="s">
        <v>5009</v>
      </c>
      <c r="E981" s="2" t="s">
        <v>308</v>
      </c>
      <c r="F981" s="137" t="s">
        <v>5010</v>
      </c>
      <c r="G981" s="137" t="s">
        <v>5011</v>
      </c>
      <c r="H981" s="137" t="s">
        <v>5012</v>
      </c>
      <c r="I981" s="113" t="s">
        <v>292</v>
      </c>
      <c r="J981" s="108" t="str">
        <f t="shared" si="15"/>
        <v>083903</v>
      </c>
    </row>
    <row r="982" spans="1:10" ht="15" customHeight="1" x14ac:dyDescent="0.25">
      <c r="A982" t="str">
        <f>Table1[[#This Row],[District name]]&amp;" "&amp;Table1[[#This Row],[District number]]</f>
        <v>SER-NINOS CHARTER SCHOOL 101802</v>
      </c>
      <c r="B982" t="s">
        <v>5013</v>
      </c>
      <c r="C982" s="1"/>
      <c r="D982" t="s">
        <v>5014</v>
      </c>
      <c r="E982" s="2" t="s">
        <v>295</v>
      </c>
      <c r="F982" s="137" t="s">
        <v>5015</v>
      </c>
      <c r="G982" s="137" t="s">
        <v>5016</v>
      </c>
      <c r="H982" s="137" t="s">
        <v>5017</v>
      </c>
      <c r="I982" s="113" t="s">
        <v>292</v>
      </c>
      <c r="J982" s="108" t="str">
        <f t="shared" si="15"/>
        <v>101802</v>
      </c>
    </row>
    <row r="983" spans="1:10" ht="15" customHeight="1" x14ac:dyDescent="0.25">
      <c r="A983" t="str">
        <f>Table1[[#This Row],[District name]]&amp;" "&amp;Table1[[#This Row],[District number]]</f>
        <v>SEYMOUR ISD 012901</v>
      </c>
      <c r="B983" t="s">
        <v>5018</v>
      </c>
      <c r="C983" s="1"/>
      <c r="D983" t="s">
        <v>5019</v>
      </c>
      <c r="E983" s="2" t="s">
        <v>541</v>
      </c>
      <c r="F983" s="137" t="s">
        <v>5020</v>
      </c>
      <c r="G983" s="137" t="s">
        <v>5021</v>
      </c>
      <c r="H983" s="137" t="s">
        <v>5022</v>
      </c>
      <c r="I983" s="113" t="s">
        <v>292</v>
      </c>
      <c r="J983" s="108" t="str">
        <f t="shared" si="15"/>
        <v>012901</v>
      </c>
    </row>
    <row r="984" spans="1:10" ht="15" customHeight="1" x14ac:dyDescent="0.25">
      <c r="A984" t="str">
        <f>Table1[[#This Row],[District name]]&amp;" "&amp;Table1[[#This Row],[District number]]</f>
        <v>SHALLOWATER ISD 152909</v>
      </c>
      <c r="B984" t="s">
        <v>5023</v>
      </c>
      <c r="C984" s="1"/>
      <c r="D984" t="s">
        <v>5024</v>
      </c>
      <c r="E984" s="2" t="s">
        <v>308</v>
      </c>
      <c r="F984" s="137" t="s">
        <v>5025</v>
      </c>
      <c r="G984" s="137" t="s">
        <v>5026</v>
      </c>
      <c r="H984" s="137" t="s">
        <v>5027</v>
      </c>
      <c r="I984" s="113" t="s">
        <v>292</v>
      </c>
      <c r="J984" s="108" t="str">
        <f t="shared" si="15"/>
        <v>152909</v>
      </c>
    </row>
    <row r="985" spans="1:10" ht="15" customHeight="1" x14ac:dyDescent="0.25">
      <c r="A985" t="str">
        <f>Table1[[#This Row],[District name]]&amp;" "&amp;Table1[[#This Row],[District number]]</f>
        <v>SHAMROCK ISD 242902</v>
      </c>
      <c r="B985" t="s">
        <v>5028</v>
      </c>
      <c r="C985" s="1"/>
      <c r="D985" t="s">
        <v>5029</v>
      </c>
      <c r="E985" s="2" t="s">
        <v>356</v>
      </c>
      <c r="F985" s="137" t="s">
        <v>5030</v>
      </c>
      <c r="G985" s="137" t="s">
        <v>5031</v>
      </c>
      <c r="H985" s="137" t="s">
        <v>5032</v>
      </c>
      <c r="I985" s="113" t="s">
        <v>292</v>
      </c>
      <c r="J985" s="108" t="str">
        <f t="shared" si="15"/>
        <v>242902</v>
      </c>
    </row>
    <row r="986" spans="1:10" ht="15" customHeight="1" x14ac:dyDescent="0.25">
      <c r="A986" t="str">
        <f>Table1[[#This Row],[District name]]&amp;" "&amp;Table1[[#This Row],[District number]]</f>
        <v>SHARYLAND ISD 108911</v>
      </c>
      <c r="B986" t="s">
        <v>5033</v>
      </c>
      <c r="C986" s="1"/>
      <c r="D986" t="s">
        <v>5034</v>
      </c>
      <c r="E986" s="2" t="s">
        <v>982</v>
      </c>
      <c r="F986" s="137" t="s">
        <v>5035</v>
      </c>
      <c r="G986" s="137" t="s">
        <v>5036</v>
      </c>
      <c r="H986" s="137" t="s">
        <v>5037</v>
      </c>
      <c r="I986" s="113" t="s">
        <v>292</v>
      </c>
      <c r="J986" s="108" t="str">
        <f t="shared" si="15"/>
        <v>108911</v>
      </c>
    </row>
    <row r="987" spans="1:10" ht="15" customHeight="1" x14ac:dyDescent="0.25">
      <c r="A987" t="str">
        <f>Table1[[#This Row],[District name]]&amp;" "&amp;Table1[[#This Row],[District number]]</f>
        <v>SHELBYVILLE ISD 210903</v>
      </c>
      <c r="B987" t="s">
        <v>5038</v>
      </c>
      <c r="C987" s="1"/>
      <c r="D987" t="s">
        <v>5039</v>
      </c>
      <c r="E987" s="2" t="s">
        <v>383</v>
      </c>
      <c r="F987" s="137" t="s">
        <v>5040</v>
      </c>
      <c r="G987" s="137" t="s">
        <v>5041</v>
      </c>
      <c r="H987" s="137" t="s">
        <v>5042</v>
      </c>
      <c r="I987" s="113" t="s">
        <v>292</v>
      </c>
      <c r="J987" s="108" t="str">
        <f t="shared" si="15"/>
        <v>210903</v>
      </c>
    </row>
    <row r="988" spans="1:10" ht="15" customHeight="1" x14ac:dyDescent="0.25">
      <c r="A988" t="str">
        <f>Table1[[#This Row],[District name]]&amp;" "&amp;Table1[[#This Row],[District number]]</f>
        <v>SHELDON ISD 101924</v>
      </c>
      <c r="B988" t="s">
        <v>5043</v>
      </c>
      <c r="C988" s="1"/>
      <c r="D988" t="s">
        <v>5044</v>
      </c>
      <c r="E988" s="2" t="s">
        <v>295</v>
      </c>
      <c r="F988" s="137" t="s">
        <v>5045</v>
      </c>
      <c r="G988" s="137" t="s">
        <v>5046</v>
      </c>
      <c r="H988" s="137" t="s">
        <v>5047</v>
      </c>
      <c r="I988" s="113" t="s">
        <v>292</v>
      </c>
      <c r="J988" s="108" t="str">
        <f t="shared" si="15"/>
        <v>101924</v>
      </c>
    </row>
    <row r="989" spans="1:10" ht="15" customHeight="1" x14ac:dyDescent="0.25">
      <c r="A989" t="str">
        <f>Table1[[#This Row],[District name]]&amp;" "&amp;Table1[[#This Row],[District number]]</f>
        <v>SHEPHERD ISD 204904</v>
      </c>
      <c r="B989" t="s">
        <v>5048</v>
      </c>
      <c r="C989" s="1"/>
      <c r="D989" t="s">
        <v>5049</v>
      </c>
      <c r="E989" s="2" t="s">
        <v>480</v>
      </c>
      <c r="F989" s="137" t="s">
        <v>5050</v>
      </c>
      <c r="G989" s="137" t="s">
        <v>5051</v>
      </c>
      <c r="H989" s="137" t="s">
        <v>5052</v>
      </c>
      <c r="I989" s="113" t="s">
        <v>292</v>
      </c>
      <c r="J989" s="108" t="str">
        <f t="shared" si="15"/>
        <v>204904</v>
      </c>
    </row>
    <row r="990" spans="1:10" ht="15" customHeight="1" x14ac:dyDescent="0.25">
      <c r="A990" t="str">
        <f>Table1[[#This Row],[District name]]&amp;" "&amp;Table1[[#This Row],[District number]]</f>
        <v>SHERMAN ISD 091906</v>
      </c>
      <c r="B990" t="s">
        <v>5053</v>
      </c>
      <c r="C990" s="1"/>
      <c r="D990" t="s">
        <v>5054</v>
      </c>
      <c r="E990" s="2" t="s">
        <v>288</v>
      </c>
      <c r="F990" s="137" t="s">
        <v>5055</v>
      </c>
      <c r="G990" s="137" t="s">
        <v>5056</v>
      </c>
      <c r="H990" s="137" t="s">
        <v>5057</v>
      </c>
      <c r="I990" s="113" t="s">
        <v>292</v>
      </c>
      <c r="J990" s="108" t="str">
        <f t="shared" si="15"/>
        <v>091906</v>
      </c>
    </row>
    <row r="991" spans="1:10" ht="15" customHeight="1" x14ac:dyDescent="0.25">
      <c r="A991" t="str">
        <f>Table1[[#This Row],[District name]]&amp;" "&amp;Table1[[#This Row],[District number]]</f>
        <v>SHINER ISD 143903</v>
      </c>
      <c r="B991" t="s">
        <v>5058</v>
      </c>
      <c r="C991" s="1"/>
      <c r="D991" t="s">
        <v>5059</v>
      </c>
      <c r="E991" s="2" t="s">
        <v>614</v>
      </c>
      <c r="F991" s="137" t="s">
        <v>2178</v>
      </c>
      <c r="G991" s="137" t="s">
        <v>5060</v>
      </c>
      <c r="H991" s="137" t="s">
        <v>5061</v>
      </c>
      <c r="I991" s="113" t="s">
        <v>292</v>
      </c>
      <c r="J991" s="108" t="str">
        <f t="shared" si="15"/>
        <v>143903</v>
      </c>
    </row>
    <row r="992" spans="1:10" ht="15" customHeight="1" x14ac:dyDescent="0.25">
      <c r="A992" t="str">
        <f>Table1[[#This Row],[District name]]&amp;" "&amp;Table1[[#This Row],[District number]]</f>
        <v>SIDNEY ISD 047905</v>
      </c>
      <c r="B992" t="s">
        <v>5062</v>
      </c>
      <c r="C992" s="1"/>
      <c r="D992" t="s">
        <v>5063</v>
      </c>
      <c r="E992" s="2" t="s">
        <v>314</v>
      </c>
      <c r="F992" s="137" t="s">
        <v>3751</v>
      </c>
      <c r="G992" s="137" t="s">
        <v>3752</v>
      </c>
      <c r="H992" s="137" t="s">
        <v>3753</v>
      </c>
      <c r="I992" s="113" t="s">
        <v>292</v>
      </c>
      <c r="J992" s="108" t="str">
        <f t="shared" si="15"/>
        <v>047905</v>
      </c>
    </row>
    <row r="993" spans="1:10" ht="15" customHeight="1" x14ac:dyDescent="0.25">
      <c r="A993" t="str">
        <f>Table1[[#This Row],[District name]]&amp;" "&amp;Table1[[#This Row],[District number]]</f>
        <v>SIERRA BLANCA ISD 115902</v>
      </c>
      <c r="B993" t="s">
        <v>5064</v>
      </c>
      <c r="C993" s="1"/>
      <c r="D993" t="s">
        <v>5065</v>
      </c>
      <c r="E993" s="2" t="s">
        <v>507</v>
      </c>
      <c r="F993" s="137" t="s">
        <v>5066</v>
      </c>
      <c r="G993" s="137" t="s">
        <v>5067</v>
      </c>
      <c r="H993" s="137" t="s">
        <v>5068</v>
      </c>
      <c r="I993" s="113" t="s">
        <v>292</v>
      </c>
      <c r="J993" s="108" t="str">
        <f t="shared" si="15"/>
        <v>115902</v>
      </c>
    </row>
    <row r="994" spans="1:10" ht="15" customHeight="1" x14ac:dyDescent="0.25">
      <c r="A994" t="str">
        <f>Table1[[#This Row],[District name]]&amp;" "&amp;Table1[[#This Row],[District number]]</f>
        <v>SILSBEE ISD 100904</v>
      </c>
      <c r="B994" t="s">
        <v>5069</v>
      </c>
      <c r="C994" s="1"/>
      <c r="D994" t="s">
        <v>5070</v>
      </c>
      <c r="E994" s="2" t="s">
        <v>706</v>
      </c>
      <c r="F994" s="137" t="s">
        <v>5071</v>
      </c>
      <c r="G994" s="137" t="s">
        <v>5072</v>
      </c>
      <c r="H994" s="137" t="s">
        <v>5073</v>
      </c>
      <c r="I994" s="113" t="s">
        <v>292</v>
      </c>
      <c r="J994" s="108" t="str">
        <f t="shared" si="15"/>
        <v>100904</v>
      </c>
    </row>
    <row r="995" spans="1:10" ht="15" customHeight="1" x14ac:dyDescent="0.25">
      <c r="A995" t="str">
        <f>Table1[[#This Row],[District name]]&amp;" "&amp;Table1[[#This Row],[District number]]</f>
        <v>SILVERTON ISD 023902</v>
      </c>
      <c r="B995" t="s">
        <v>5074</v>
      </c>
      <c r="C995" s="1"/>
      <c r="D995" t="s">
        <v>5075</v>
      </c>
      <c r="E995" s="2" t="s">
        <v>356</v>
      </c>
      <c r="F995" s="137" t="s">
        <v>5076</v>
      </c>
      <c r="G995" s="137" t="s">
        <v>3409</v>
      </c>
      <c r="H995" s="137" t="s">
        <v>5077</v>
      </c>
      <c r="I995" s="113" t="s">
        <v>292</v>
      </c>
      <c r="J995" s="108" t="str">
        <f t="shared" si="15"/>
        <v>023902</v>
      </c>
    </row>
    <row r="996" spans="1:10" ht="15" customHeight="1" x14ac:dyDescent="0.25">
      <c r="A996" t="str">
        <f>Table1[[#This Row],[District name]]&amp;" "&amp;Table1[[#This Row],[District number]]</f>
        <v>SIMMS ISD 019909</v>
      </c>
      <c r="B996" t="s">
        <v>5078</v>
      </c>
      <c r="C996" s="1"/>
      <c r="D996" t="s">
        <v>5079</v>
      </c>
      <c r="E996" s="2" t="s">
        <v>587</v>
      </c>
      <c r="F996" s="137" t="s">
        <v>5080</v>
      </c>
      <c r="G996" s="137" t="s">
        <v>5081</v>
      </c>
      <c r="H996" s="137" t="s">
        <v>5082</v>
      </c>
      <c r="I996" s="113" t="s">
        <v>292</v>
      </c>
      <c r="J996" s="108" t="str">
        <f t="shared" si="15"/>
        <v>019909</v>
      </c>
    </row>
    <row r="997" spans="1:10" ht="15" customHeight="1" x14ac:dyDescent="0.25">
      <c r="A997" t="str">
        <f>Table1[[#This Row],[District name]]&amp;" "&amp;Table1[[#This Row],[District number]]</f>
        <v>SINTON ISD 205906</v>
      </c>
      <c r="B997" t="s">
        <v>5083</v>
      </c>
      <c r="C997" s="1"/>
      <c r="D997" t="s">
        <v>5084</v>
      </c>
      <c r="E997" s="2" t="s">
        <v>369</v>
      </c>
      <c r="F997" s="137" t="s">
        <v>5085</v>
      </c>
      <c r="G997" s="137" t="s">
        <v>5086</v>
      </c>
      <c r="H997" s="137" t="s">
        <v>5087</v>
      </c>
      <c r="I997" s="113" t="s">
        <v>292</v>
      </c>
      <c r="J997" s="108" t="str">
        <f t="shared" si="15"/>
        <v>205906</v>
      </c>
    </row>
    <row r="998" spans="1:10" ht="15" customHeight="1" x14ac:dyDescent="0.25">
      <c r="A998" t="str">
        <f>Table1[[#This Row],[District name]]&amp;" "&amp;Table1[[#This Row],[District number]]</f>
        <v>SIVELLS BEND ISD 049909</v>
      </c>
      <c r="B998" t="s">
        <v>5088</v>
      </c>
      <c r="C998" s="1"/>
      <c r="D998" t="s">
        <v>5089</v>
      </c>
      <c r="E998" s="2" t="s">
        <v>402</v>
      </c>
      <c r="F998" s="137" t="s">
        <v>5090</v>
      </c>
      <c r="G998" s="137" t="s">
        <v>5091</v>
      </c>
      <c r="H998" s="137" t="s">
        <v>5092</v>
      </c>
      <c r="I998" s="113" t="s">
        <v>292</v>
      </c>
      <c r="J998" s="108" t="str">
        <f t="shared" si="15"/>
        <v>049909</v>
      </c>
    </row>
    <row r="999" spans="1:10" ht="15" customHeight="1" x14ac:dyDescent="0.25">
      <c r="A999" t="str">
        <f>Table1[[#This Row],[District name]]&amp;" "&amp;Table1[[#This Row],[District number]]</f>
        <v>SKIDMORE-TYNAN ISD 013905</v>
      </c>
      <c r="B999" t="s">
        <v>5093</v>
      </c>
      <c r="C999" s="1"/>
      <c r="D999" t="s">
        <v>5094</v>
      </c>
      <c r="E999" s="2" t="s">
        <v>369</v>
      </c>
      <c r="F999" s="137" t="s">
        <v>2316</v>
      </c>
      <c r="G999" s="137" t="s">
        <v>2317</v>
      </c>
      <c r="H999" s="137" t="s">
        <v>2318</v>
      </c>
      <c r="I999" s="113" t="s">
        <v>292</v>
      </c>
      <c r="J999" s="108" t="str">
        <f t="shared" si="15"/>
        <v>013905</v>
      </c>
    </row>
    <row r="1000" spans="1:10" ht="15" customHeight="1" x14ac:dyDescent="0.25">
      <c r="A1000" t="str">
        <f>Table1[[#This Row],[District name]]&amp;" "&amp;Table1[[#This Row],[District number]]</f>
        <v>SLATON ISD 152903</v>
      </c>
      <c r="B1000" t="s">
        <v>5095</v>
      </c>
      <c r="C1000" s="1"/>
      <c r="D1000" t="s">
        <v>5096</v>
      </c>
      <c r="E1000" s="2" t="s">
        <v>308</v>
      </c>
      <c r="F1000" s="137" t="s">
        <v>5097</v>
      </c>
      <c r="G1000" s="137" t="s">
        <v>5098</v>
      </c>
      <c r="H1000" s="137" t="s">
        <v>5099</v>
      </c>
      <c r="I1000" s="113" t="s">
        <v>292</v>
      </c>
      <c r="J1000" s="108" t="str">
        <f t="shared" si="15"/>
        <v>152903</v>
      </c>
    </row>
    <row r="1001" spans="1:10" ht="15" customHeight="1" x14ac:dyDescent="0.25">
      <c r="A1001" t="str">
        <f>Table1[[#This Row],[District name]]&amp;" "&amp;Table1[[#This Row],[District number]]</f>
        <v>SLIDELL ISD 249908</v>
      </c>
      <c r="B1001" t="s">
        <v>5100</v>
      </c>
      <c r="C1001" s="1"/>
      <c r="D1001" t="s">
        <v>5101</v>
      </c>
      <c r="E1001" s="2" t="s">
        <v>402</v>
      </c>
      <c r="F1001" s="137" t="s">
        <v>5102</v>
      </c>
      <c r="G1001" s="137" t="s">
        <v>5103</v>
      </c>
      <c r="H1001" s="137" t="s">
        <v>5104</v>
      </c>
      <c r="I1001" s="113" t="s">
        <v>292</v>
      </c>
      <c r="J1001" s="108" t="str">
        <f t="shared" si="15"/>
        <v>249908</v>
      </c>
    </row>
    <row r="1002" spans="1:10" ht="15" customHeight="1" x14ac:dyDescent="0.25">
      <c r="A1002" t="str">
        <f>Table1[[#This Row],[District name]]&amp;" "&amp;Table1[[#This Row],[District number]]</f>
        <v>SLOCUM ISD 001909</v>
      </c>
      <c r="B1002" t="s">
        <v>5105</v>
      </c>
      <c r="C1002" s="1"/>
      <c r="D1002" t="s">
        <v>5106</v>
      </c>
      <c r="E1002" s="2" t="s">
        <v>383</v>
      </c>
      <c r="F1002" s="137" t="s">
        <v>5107</v>
      </c>
      <c r="G1002" s="137" t="s">
        <v>5108</v>
      </c>
      <c r="H1002" s="137" t="s">
        <v>5109</v>
      </c>
      <c r="I1002" s="113" t="s">
        <v>292</v>
      </c>
      <c r="J1002" s="108" t="str">
        <f t="shared" si="15"/>
        <v>001909</v>
      </c>
    </row>
    <row r="1003" spans="1:10" ht="15" customHeight="1" x14ac:dyDescent="0.25">
      <c r="A1003" t="str">
        <f>Table1[[#This Row],[District name]]&amp;" "&amp;Table1[[#This Row],[District number]]</f>
        <v>SMITHVILLE ISD 011904</v>
      </c>
      <c r="B1003" t="s">
        <v>5110</v>
      </c>
      <c r="C1003" s="1"/>
      <c r="D1003" t="s">
        <v>5111</v>
      </c>
      <c r="E1003" s="2" t="s">
        <v>598</v>
      </c>
      <c r="F1003" s="137" t="s">
        <v>767</v>
      </c>
      <c r="G1003" s="137" t="s">
        <v>5112</v>
      </c>
      <c r="H1003" s="137" t="s">
        <v>5113</v>
      </c>
      <c r="I1003" s="113" t="s">
        <v>292</v>
      </c>
      <c r="J1003" s="108" t="str">
        <f t="shared" si="15"/>
        <v>011904</v>
      </c>
    </row>
    <row r="1004" spans="1:10" ht="15" customHeight="1" x14ac:dyDescent="0.25">
      <c r="A1004" t="str">
        <f>Table1[[#This Row],[District name]]&amp;" "&amp;Table1[[#This Row],[District number]]</f>
        <v>SMYER ISD 110906</v>
      </c>
      <c r="B1004" t="s">
        <v>5114</v>
      </c>
      <c r="C1004" s="1"/>
      <c r="D1004" t="s">
        <v>5115</v>
      </c>
      <c r="E1004" s="2" t="s">
        <v>308</v>
      </c>
      <c r="F1004" s="137" t="s">
        <v>5116</v>
      </c>
      <c r="G1004" s="137" t="s">
        <v>5117</v>
      </c>
      <c r="H1004" s="137" t="s">
        <v>5118</v>
      </c>
      <c r="I1004" s="113" t="s">
        <v>292</v>
      </c>
      <c r="J1004" s="108" t="str">
        <f t="shared" si="15"/>
        <v>110906</v>
      </c>
    </row>
    <row r="1005" spans="1:10" ht="15" customHeight="1" x14ac:dyDescent="0.25">
      <c r="A1005" t="str">
        <f>Table1[[#This Row],[District name]]&amp;" "&amp;Table1[[#This Row],[District number]]</f>
        <v>SNOOK ISD 026903</v>
      </c>
      <c r="B1005" t="s">
        <v>5119</v>
      </c>
      <c r="C1005" s="1"/>
      <c r="D1005" t="s">
        <v>5120</v>
      </c>
      <c r="E1005" s="2" t="s">
        <v>480</v>
      </c>
      <c r="F1005" s="137" t="s">
        <v>4732</v>
      </c>
      <c r="G1005" s="137" t="s">
        <v>5121</v>
      </c>
      <c r="H1005" s="137" t="s">
        <v>5122</v>
      </c>
      <c r="I1005" s="113" t="s">
        <v>292</v>
      </c>
      <c r="J1005" s="108" t="str">
        <f t="shared" si="15"/>
        <v>026903</v>
      </c>
    </row>
    <row r="1006" spans="1:10" ht="15" customHeight="1" x14ac:dyDescent="0.25">
      <c r="A1006" t="str">
        <f>Table1[[#This Row],[District name]]&amp;" "&amp;Table1[[#This Row],[District number]]</f>
        <v>SNYDER ISD 208902</v>
      </c>
      <c r="B1006" t="s">
        <v>5123</v>
      </c>
      <c r="C1006" s="1"/>
      <c r="D1006" t="s">
        <v>5124</v>
      </c>
      <c r="E1006" s="2" t="s">
        <v>314</v>
      </c>
      <c r="F1006" s="137" t="s">
        <v>1694</v>
      </c>
      <c r="G1006" s="137" t="s">
        <v>5125</v>
      </c>
      <c r="H1006" s="137" t="s">
        <v>5126</v>
      </c>
      <c r="I1006" s="113" t="s">
        <v>292</v>
      </c>
      <c r="J1006" s="108" t="str">
        <f t="shared" si="15"/>
        <v>208902</v>
      </c>
    </row>
    <row r="1007" spans="1:10" ht="15" customHeight="1" x14ac:dyDescent="0.25">
      <c r="A1007" t="str">
        <f>Table1[[#This Row],[District name]]&amp;" "&amp;Table1[[#This Row],[District number]]</f>
        <v>SOCORRO ISD 071909</v>
      </c>
      <c r="B1007" t="s">
        <v>5127</v>
      </c>
      <c r="C1007" s="1"/>
      <c r="D1007" t="s">
        <v>5128</v>
      </c>
      <c r="E1007" s="2" t="s">
        <v>507</v>
      </c>
      <c r="F1007" s="137" t="s">
        <v>5129</v>
      </c>
      <c r="G1007" s="137" t="s">
        <v>5130</v>
      </c>
      <c r="H1007" s="137" t="s">
        <v>5131</v>
      </c>
      <c r="I1007" s="113" t="s">
        <v>292</v>
      </c>
      <c r="J1007" s="108" t="str">
        <f t="shared" si="15"/>
        <v>071909</v>
      </c>
    </row>
    <row r="1008" spans="1:10" ht="15" customHeight="1" x14ac:dyDescent="0.25">
      <c r="A1008" t="str">
        <f>Table1[[#This Row],[District name]]&amp;" "&amp;Table1[[#This Row],[District number]]</f>
        <v>SOMERSET ISD 015909</v>
      </c>
      <c r="B1008" t="s">
        <v>5132</v>
      </c>
      <c r="C1008" s="1"/>
      <c r="D1008" t="s">
        <v>5133</v>
      </c>
      <c r="E1008" s="2" t="s">
        <v>376</v>
      </c>
      <c r="F1008" s="137" t="s">
        <v>5134</v>
      </c>
      <c r="G1008" s="137" t="s">
        <v>5135</v>
      </c>
      <c r="H1008" s="137" t="s">
        <v>5136</v>
      </c>
      <c r="I1008" s="113" t="s">
        <v>292</v>
      </c>
      <c r="J1008" s="108" t="str">
        <f t="shared" si="15"/>
        <v>015909</v>
      </c>
    </row>
    <row r="1009" spans="1:10" ht="15" customHeight="1" x14ac:dyDescent="0.25">
      <c r="A1009" t="str">
        <f>Table1[[#This Row],[District name]]&amp;" "&amp;Table1[[#This Row],[District number]]</f>
        <v>SOMERVILLE ISD 026902</v>
      </c>
      <c r="B1009" t="s">
        <v>5137</v>
      </c>
      <c r="C1009" s="1"/>
      <c r="D1009" t="s">
        <v>5138</v>
      </c>
      <c r="E1009" s="2" t="s">
        <v>480</v>
      </c>
      <c r="F1009" s="137" t="s">
        <v>5139</v>
      </c>
      <c r="G1009" s="137" t="s">
        <v>5140</v>
      </c>
      <c r="H1009" s="137" t="s">
        <v>5141</v>
      </c>
      <c r="I1009" s="113" t="s">
        <v>292</v>
      </c>
      <c r="J1009" s="108" t="str">
        <f t="shared" si="15"/>
        <v>026902</v>
      </c>
    </row>
    <row r="1010" spans="1:10" ht="15" customHeight="1" x14ac:dyDescent="0.25">
      <c r="A1010" t="str">
        <f>Table1[[#This Row],[District name]]&amp;" "&amp;Table1[[#This Row],[District number]]</f>
        <v>SONORA ISD 218901</v>
      </c>
      <c r="B1010" t="s">
        <v>5142</v>
      </c>
      <c r="C1010" s="1"/>
      <c r="D1010" t="s">
        <v>5143</v>
      </c>
      <c r="E1010" s="2" t="s">
        <v>650</v>
      </c>
      <c r="F1010" s="137" t="s">
        <v>363</v>
      </c>
      <c r="G1010" s="137" t="s">
        <v>5144</v>
      </c>
      <c r="H1010" s="137" t="s">
        <v>5145</v>
      </c>
      <c r="I1010" s="113" t="s">
        <v>292</v>
      </c>
      <c r="J1010" s="108" t="str">
        <f t="shared" si="15"/>
        <v>218901</v>
      </c>
    </row>
    <row r="1011" spans="1:10" ht="15" customHeight="1" x14ac:dyDescent="0.25">
      <c r="A1011" t="str">
        <f>Table1[[#This Row],[District name]]&amp;" "&amp;Table1[[#This Row],[District number]]</f>
        <v>SOUTH SAN ANTONIO ISD 015908</v>
      </c>
      <c r="B1011" t="s">
        <v>5146</v>
      </c>
      <c r="C1011" s="1"/>
      <c r="D1011" t="s">
        <v>5147</v>
      </c>
      <c r="E1011" s="2" t="s">
        <v>376</v>
      </c>
      <c r="F1011" s="137" t="s">
        <v>5148</v>
      </c>
      <c r="G1011" s="137" t="s">
        <v>5149</v>
      </c>
      <c r="H1011" s="137" t="s">
        <v>5150</v>
      </c>
      <c r="I1011" s="113" t="s">
        <v>292</v>
      </c>
      <c r="J1011" s="108" t="str">
        <f t="shared" si="15"/>
        <v>015908</v>
      </c>
    </row>
    <row r="1012" spans="1:10" ht="15" customHeight="1" x14ac:dyDescent="0.25">
      <c r="A1012" t="str">
        <f>Table1[[#This Row],[District name]]&amp;" "&amp;Table1[[#This Row],[District number]]</f>
        <v>SOUTH TEXAS ISD 031916</v>
      </c>
      <c r="B1012" t="s">
        <v>5151</v>
      </c>
      <c r="C1012" s="1"/>
      <c r="D1012" t="s">
        <v>5152</v>
      </c>
      <c r="E1012" s="2" t="s">
        <v>982</v>
      </c>
      <c r="F1012" s="137" t="s">
        <v>3588</v>
      </c>
      <c r="G1012" s="137" t="s">
        <v>5153</v>
      </c>
      <c r="H1012" s="137" t="s">
        <v>5154</v>
      </c>
      <c r="I1012" s="113" t="s">
        <v>292</v>
      </c>
      <c r="J1012" s="108" t="str">
        <f t="shared" si="15"/>
        <v>031916</v>
      </c>
    </row>
    <row r="1013" spans="1:10" ht="15" customHeight="1" x14ac:dyDescent="0.25">
      <c r="A1013" t="str">
        <f>Table1[[#This Row],[District name]]&amp;" "&amp;Table1[[#This Row],[District number]]</f>
        <v>SOUTHLAND ISD 085903</v>
      </c>
      <c r="B1013" t="s">
        <v>5155</v>
      </c>
      <c r="C1013" s="1"/>
      <c r="D1013" t="s">
        <v>5156</v>
      </c>
      <c r="E1013" s="2" t="s">
        <v>308</v>
      </c>
      <c r="F1013" s="137" t="s">
        <v>5157</v>
      </c>
      <c r="G1013" s="137" t="s">
        <v>5158</v>
      </c>
      <c r="H1013" s="137" t="s">
        <v>5159</v>
      </c>
      <c r="I1013" s="113" t="s">
        <v>292</v>
      </c>
      <c r="J1013" s="108" t="str">
        <f t="shared" si="15"/>
        <v>085903</v>
      </c>
    </row>
    <row r="1014" spans="1:10" ht="15" customHeight="1" x14ac:dyDescent="0.25">
      <c r="A1014" t="str">
        <f>Table1[[#This Row],[District name]]&amp;" "&amp;Table1[[#This Row],[District number]]</f>
        <v>SOUTHSIDE ISD 015917</v>
      </c>
      <c r="B1014" t="s">
        <v>5160</v>
      </c>
      <c r="C1014" s="1"/>
      <c r="D1014" t="s">
        <v>5161</v>
      </c>
      <c r="E1014" s="2" t="s">
        <v>376</v>
      </c>
      <c r="F1014" s="137" t="s">
        <v>5162</v>
      </c>
      <c r="G1014" s="137" t="s">
        <v>5163</v>
      </c>
      <c r="H1014" s="137" t="s">
        <v>5164</v>
      </c>
      <c r="I1014" s="113" t="s">
        <v>292</v>
      </c>
      <c r="J1014" s="108" t="str">
        <f t="shared" si="15"/>
        <v>015917</v>
      </c>
    </row>
    <row r="1015" spans="1:10" ht="15" customHeight="1" x14ac:dyDescent="0.25">
      <c r="A1015" t="str">
        <f>Table1[[#This Row],[District name]]&amp;" "&amp;Table1[[#This Row],[District number]]</f>
        <v>SOUTHWEST ISD 015912</v>
      </c>
      <c r="B1015" t="s">
        <v>5165</v>
      </c>
      <c r="C1015" s="1"/>
      <c r="D1015" t="s">
        <v>5166</v>
      </c>
      <c r="E1015" s="2" t="s">
        <v>376</v>
      </c>
      <c r="F1015" s="137" t="s">
        <v>5167</v>
      </c>
      <c r="G1015" s="137" t="s">
        <v>5168</v>
      </c>
      <c r="H1015" s="137" t="s">
        <v>5169</v>
      </c>
      <c r="I1015" s="113" t="s">
        <v>292</v>
      </c>
      <c r="J1015" s="108" t="str">
        <f t="shared" si="15"/>
        <v>015912</v>
      </c>
    </row>
    <row r="1016" spans="1:10" ht="15" customHeight="1" x14ac:dyDescent="0.25">
      <c r="A1016" t="str">
        <f>Table1[[#This Row],[District name]]&amp;" "&amp;Table1[[#This Row],[District number]]</f>
        <v>SOUTHWEST PREPARATORY SCHOOL 015807</v>
      </c>
      <c r="B1016" t="s">
        <v>5170</v>
      </c>
      <c r="C1016" s="1"/>
      <c r="D1016" t="s">
        <v>5171</v>
      </c>
      <c r="E1016" s="2" t="s">
        <v>376</v>
      </c>
      <c r="F1016" s="137" t="s">
        <v>5172</v>
      </c>
      <c r="G1016" s="137" t="s">
        <v>5173</v>
      </c>
      <c r="H1016" s="137" t="s">
        <v>5174</v>
      </c>
      <c r="I1016" s="113" t="s">
        <v>292</v>
      </c>
      <c r="J1016" s="108" t="str">
        <f t="shared" si="15"/>
        <v>015807</v>
      </c>
    </row>
    <row r="1017" spans="1:10" ht="15" customHeight="1" x14ac:dyDescent="0.25">
      <c r="A1017" t="str">
        <f>Table1[[#This Row],[District name]]&amp;" "&amp;Table1[[#This Row],[District number]]</f>
        <v>SOUTHWEST SCHOOL 101838</v>
      </c>
      <c r="B1017" t="s">
        <v>5175</v>
      </c>
      <c r="C1017" s="1"/>
      <c r="D1017" t="s">
        <v>5176</v>
      </c>
      <c r="E1017" s="2" t="s">
        <v>295</v>
      </c>
      <c r="F1017" s="137" t="s">
        <v>5177</v>
      </c>
      <c r="G1017" s="137" t="s">
        <v>5178</v>
      </c>
      <c r="H1017" s="137" t="s">
        <v>5179</v>
      </c>
      <c r="I1017" s="113" t="s">
        <v>292</v>
      </c>
      <c r="J1017" s="108" t="str">
        <f t="shared" si="15"/>
        <v>101838</v>
      </c>
    </row>
    <row r="1018" spans="1:10" ht="15" customHeight="1" x14ac:dyDescent="0.25">
      <c r="A1018" t="str">
        <f>Table1[[#This Row],[District name]]&amp;" "&amp;Table1[[#This Row],[District number]]</f>
        <v>SPEARMAN ISD 098904</v>
      </c>
      <c r="B1018" t="s">
        <v>5180</v>
      </c>
      <c r="C1018" s="1"/>
      <c r="D1018" t="s">
        <v>5181</v>
      </c>
      <c r="E1018" s="2" t="s">
        <v>356</v>
      </c>
      <c r="F1018" s="137" t="s">
        <v>5182</v>
      </c>
      <c r="G1018" s="137" t="s">
        <v>5183</v>
      </c>
      <c r="H1018" s="137" t="s">
        <v>5184</v>
      </c>
      <c r="I1018" s="113" t="s">
        <v>292</v>
      </c>
      <c r="J1018" s="108" t="str">
        <f t="shared" si="15"/>
        <v>098904</v>
      </c>
    </row>
    <row r="1019" spans="1:10" ht="15" customHeight="1" x14ac:dyDescent="0.25">
      <c r="A1019" t="str">
        <f>Table1[[#This Row],[District name]]&amp;" "&amp;Table1[[#This Row],[District number]]</f>
        <v>SPLENDORA ISD 170907</v>
      </c>
      <c r="B1019" t="s">
        <v>5185</v>
      </c>
      <c r="C1019" s="1"/>
      <c r="D1019" t="s">
        <v>5186</v>
      </c>
      <c r="E1019" s="2" t="s">
        <v>480</v>
      </c>
      <c r="F1019" s="137" t="s">
        <v>5187</v>
      </c>
      <c r="G1019" s="137" t="s">
        <v>5188</v>
      </c>
      <c r="H1019" s="137" t="s">
        <v>5189</v>
      </c>
      <c r="I1019" s="113" t="s">
        <v>292</v>
      </c>
      <c r="J1019" s="108" t="str">
        <f t="shared" si="15"/>
        <v>170907</v>
      </c>
    </row>
    <row r="1020" spans="1:10" ht="15" customHeight="1" x14ac:dyDescent="0.25">
      <c r="A1020" t="str">
        <f>Table1[[#This Row],[District name]]&amp;" "&amp;Table1[[#This Row],[District number]]</f>
        <v>SPRING BRANCH ISD 101920</v>
      </c>
      <c r="B1020" t="s">
        <v>5190</v>
      </c>
      <c r="C1020" s="1"/>
      <c r="D1020" t="s">
        <v>5191</v>
      </c>
      <c r="E1020" s="2" t="s">
        <v>295</v>
      </c>
      <c r="F1020" s="137" t="s">
        <v>5192</v>
      </c>
      <c r="G1020" s="137" t="s">
        <v>5193</v>
      </c>
      <c r="H1020" s="137" t="s">
        <v>5194</v>
      </c>
      <c r="I1020" s="113" t="s">
        <v>292</v>
      </c>
      <c r="J1020" s="108" t="str">
        <f t="shared" si="15"/>
        <v>101920</v>
      </c>
    </row>
    <row r="1021" spans="1:10" ht="15" customHeight="1" x14ac:dyDescent="0.25">
      <c r="A1021" t="str">
        <f>Table1[[#This Row],[District name]]&amp;" "&amp;Table1[[#This Row],[District number]]</f>
        <v>SPRING CREEK ISD 117907</v>
      </c>
      <c r="B1021" t="s">
        <v>5195</v>
      </c>
      <c r="C1021" s="1"/>
      <c r="D1021" t="s">
        <v>5196</v>
      </c>
      <c r="E1021" s="2" t="s">
        <v>2042</v>
      </c>
      <c r="F1021" s="137" t="s">
        <v>2042</v>
      </c>
      <c r="G1021" s="137" t="s">
        <v>2042</v>
      </c>
      <c r="H1021" s="137" t="s">
        <v>2042</v>
      </c>
      <c r="I1021" s="113" t="s">
        <v>292</v>
      </c>
      <c r="J1021" s="108" t="str">
        <f t="shared" si="15"/>
        <v>117907</v>
      </c>
    </row>
    <row r="1022" spans="1:10" ht="15" customHeight="1" x14ac:dyDescent="0.25">
      <c r="A1022" t="str">
        <f>Table1[[#This Row],[District name]]&amp;" "&amp;Table1[[#This Row],[District number]]</f>
        <v>SPRING HILL ISD 092907</v>
      </c>
      <c r="B1022" t="s">
        <v>5197</v>
      </c>
      <c r="C1022" s="1"/>
      <c r="D1022" t="s">
        <v>5198</v>
      </c>
      <c r="E1022" s="2" t="s">
        <v>383</v>
      </c>
      <c r="F1022" s="137" t="s">
        <v>5199</v>
      </c>
      <c r="G1022" s="137" t="s">
        <v>5200</v>
      </c>
      <c r="H1022" s="137" t="s">
        <v>5201</v>
      </c>
      <c r="I1022" s="113" t="s">
        <v>292</v>
      </c>
      <c r="J1022" s="108" t="str">
        <f t="shared" si="15"/>
        <v>092907</v>
      </c>
    </row>
    <row r="1023" spans="1:10" ht="15" customHeight="1" x14ac:dyDescent="0.25">
      <c r="A1023" t="str">
        <f>Table1[[#This Row],[District name]]&amp;" "&amp;Table1[[#This Row],[District number]]</f>
        <v>SPRING ISD 101919</v>
      </c>
      <c r="B1023" t="s">
        <v>5202</v>
      </c>
      <c r="C1023" s="1"/>
      <c r="D1023" t="s">
        <v>5203</v>
      </c>
      <c r="E1023" s="2" t="s">
        <v>295</v>
      </c>
      <c r="F1023" s="137" t="s">
        <v>5204</v>
      </c>
      <c r="G1023" s="137" t="s">
        <v>5205</v>
      </c>
      <c r="H1023" s="137" t="s">
        <v>5206</v>
      </c>
      <c r="I1023" s="113" t="s">
        <v>292</v>
      </c>
      <c r="J1023" s="108" t="str">
        <f t="shared" si="15"/>
        <v>101919</v>
      </c>
    </row>
    <row r="1024" spans="1:10" ht="15" customHeight="1" x14ac:dyDescent="0.25">
      <c r="A1024" t="str">
        <f>Table1[[#This Row],[District name]]&amp;" "&amp;Table1[[#This Row],[District number]]</f>
        <v>SPRINGLAKE-EARTH ISD 140907</v>
      </c>
      <c r="B1024" t="s">
        <v>5207</v>
      </c>
      <c r="C1024" s="1"/>
      <c r="D1024" t="s">
        <v>5208</v>
      </c>
      <c r="E1024" s="2" t="s">
        <v>308</v>
      </c>
      <c r="F1024" s="137" t="s">
        <v>5209</v>
      </c>
      <c r="G1024" s="137" t="s">
        <v>5210</v>
      </c>
      <c r="H1024" s="137" t="s">
        <v>5211</v>
      </c>
      <c r="I1024" s="113" t="s">
        <v>292</v>
      </c>
      <c r="J1024" s="108" t="str">
        <f t="shared" si="15"/>
        <v>140907</v>
      </c>
    </row>
    <row r="1025" spans="1:10" ht="15" customHeight="1" x14ac:dyDescent="0.25">
      <c r="A1025" t="str">
        <f>Table1[[#This Row],[District name]]&amp;" "&amp;Table1[[#This Row],[District number]]</f>
        <v>SPRINGTOWN ISD 184902</v>
      </c>
      <c r="B1025" t="s">
        <v>5212</v>
      </c>
      <c r="C1025" s="1"/>
      <c r="D1025" t="s">
        <v>5213</v>
      </c>
      <c r="E1025" s="2" t="s">
        <v>402</v>
      </c>
      <c r="F1025" s="137" t="s">
        <v>5214</v>
      </c>
      <c r="G1025" s="137" t="s">
        <v>5215</v>
      </c>
      <c r="H1025" s="137" t="s">
        <v>5216</v>
      </c>
      <c r="I1025" s="113" t="s">
        <v>292</v>
      </c>
      <c r="J1025" s="108" t="str">
        <f t="shared" si="15"/>
        <v>184902</v>
      </c>
    </row>
    <row r="1026" spans="1:10" ht="15" customHeight="1" x14ac:dyDescent="0.25">
      <c r="A1026" t="str">
        <f>Table1[[#This Row],[District name]]&amp;" "&amp;Table1[[#This Row],[District number]]</f>
        <v>SPUR ISD 063903</v>
      </c>
      <c r="B1026" t="s">
        <v>5217</v>
      </c>
      <c r="C1026" s="1"/>
      <c r="D1026" t="s">
        <v>5218</v>
      </c>
      <c r="E1026" s="2" t="s">
        <v>308</v>
      </c>
      <c r="F1026" s="137" t="s">
        <v>762</v>
      </c>
      <c r="G1026" s="137" t="s">
        <v>763</v>
      </c>
      <c r="H1026" s="137" t="s">
        <v>764</v>
      </c>
      <c r="I1026" s="113" t="s">
        <v>292</v>
      </c>
      <c r="J1026" s="108" t="str">
        <f t="shared" si="15"/>
        <v>063903</v>
      </c>
    </row>
    <row r="1027" spans="1:10" ht="15" customHeight="1" x14ac:dyDescent="0.25">
      <c r="A1027" t="str">
        <f>Table1[[#This Row],[District name]]&amp;" "&amp;Table1[[#This Row],[District number]]</f>
        <v>SPURGER ISD 229905</v>
      </c>
      <c r="B1027" t="s">
        <v>5219</v>
      </c>
      <c r="C1027" s="1"/>
      <c r="D1027" t="s">
        <v>5220</v>
      </c>
      <c r="E1027" s="2" t="s">
        <v>706</v>
      </c>
      <c r="F1027" s="137" t="s">
        <v>5221</v>
      </c>
      <c r="G1027" s="137" t="s">
        <v>5222</v>
      </c>
      <c r="H1027" s="137" t="s">
        <v>5223</v>
      </c>
      <c r="I1027" s="113" t="s">
        <v>292</v>
      </c>
      <c r="J1027" s="108" t="str">
        <f t="shared" si="15"/>
        <v>229905</v>
      </c>
    </row>
    <row r="1028" spans="1:10" ht="15" customHeight="1" x14ac:dyDescent="0.25">
      <c r="A1028" t="str">
        <f>Table1[[#This Row],[District name]]&amp;" "&amp;Table1[[#This Row],[District number]]</f>
        <v>ST ANTHONY SCHOOL 057836</v>
      </c>
      <c r="B1028" t="s">
        <v>5224</v>
      </c>
      <c r="C1028" s="1"/>
      <c r="D1028" t="s">
        <v>5225</v>
      </c>
      <c r="E1028" s="2" t="s">
        <v>288</v>
      </c>
      <c r="F1028" s="137" t="s">
        <v>5226</v>
      </c>
      <c r="G1028" s="137" t="s">
        <v>5227</v>
      </c>
      <c r="H1028" s="137" t="s">
        <v>5228</v>
      </c>
      <c r="I1028" s="113" t="s">
        <v>292</v>
      </c>
      <c r="J1028" s="108" t="str">
        <f t="shared" si="15"/>
        <v>057836</v>
      </c>
    </row>
    <row r="1029" spans="1:10" ht="15" customHeight="1" x14ac:dyDescent="0.25">
      <c r="A1029" t="str">
        <f>Table1[[#This Row],[District name]]&amp;" "&amp;Table1[[#This Row],[District number]]</f>
        <v>ST MARY'S ACADEMY CHARTER SCHOOL 013801</v>
      </c>
      <c r="B1029" t="s">
        <v>5229</v>
      </c>
      <c r="C1029" s="1"/>
      <c r="D1029" t="s">
        <v>5230</v>
      </c>
      <c r="E1029" s="2" t="s">
        <v>369</v>
      </c>
      <c r="F1029" s="137" t="s">
        <v>5231</v>
      </c>
      <c r="G1029" s="137" t="s">
        <v>5232</v>
      </c>
      <c r="H1029" s="137" t="s">
        <v>5233</v>
      </c>
      <c r="I1029" s="113" t="s">
        <v>292</v>
      </c>
      <c r="J1029" s="108" t="str">
        <f t="shared" si="15"/>
        <v>013801</v>
      </c>
    </row>
    <row r="1030" spans="1:10" ht="15" customHeight="1" x14ac:dyDescent="0.25">
      <c r="A1030" t="str">
        <f>Table1[[#This Row],[District name]]&amp;" "&amp;Table1[[#This Row],[District number]]</f>
        <v>STAFFORD MSD 079910</v>
      </c>
      <c r="B1030" t="s">
        <v>5234</v>
      </c>
      <c r="C1030" s="1"/>
      <c r="D1030" t="s">
        <v>5235</v>
      </c>
      <c r="E1030" s="2" t="s">
        <v>295</v>
      </c>
      <c r="F1030" s="137" t="s">
        <v>5236</v>
      </c>
      <c r="G1030" s="137" t="s">
        <v>5237</v>
      </c>
      <c r="H1030" s="137" t="s">
        <v>5238</v>
      </c>
      <c r="I1030" s="113" t="s">
        <v>292</v>
      </c>
      <c r="J1030" s="108" t="str">
        <f t="shared" si="15"/>
        <v>079910</v>
      </c>
    </row>
    <row r="1031" spans="1:10" ht="15" customHeight="1" x14ac:dyDescent="0.25">
      <c r="A1031" t="str">
        <f>Table1[[#This Row],[District name]]&amp;" "&amp;Table1[[#This Row],[District number]]</f>
        <v>STAMFORD ISD 127906</v>
      </c>
      <c r="B1031" t="s">
        <v>5239</v>
      </c>
      <c r="C1031" s="1"/>
      <c r="D1031" t="s">
        <v>5240</v>
      </c>
      <c r="E1031" s="2" t="s">
        <v>314</v>
      </c>
      <c r="F1031" s="137" t="s">
        <v>5241</v>
      </c>
      <c r="G1031" s="137" t="s">
        <v>5242</v>
      </c>
      <c r="H1031" s="137" t="s">
        <v>5243</v>
      </c>
      <c r="I1031" s="113" t="s">
        <v>292</v>
      </c>
      <c r="J1031" s="108" t="str">
        <f t="shared" ref="J1031:J1095" si="16">LEFT(B1031,6)</f>
        <v>127906</v>
      </c>
    </row>
    <row r="1032" spans="1:10" ht="15" customHeight="1" x14ac:dyDescent="0.25">
      <c r="A1032" t="str">
        <f>Table1[[#This Row],[District name]]&amp;" "&amp;Table1[[#This Row],[District number]]</f>
        <v>STANTON ISD 156902</v>
      </c>
      <c r="B1032" t="s">
        <v>5244</v>
      </c>
      <c r="C1032" s="1"/>
      <c r="D1032" t="s">
        <v>5245</v>
      </c>
      <c r="E1032" s="2" t="s">
        <v>430</v>
      </c>
      <c r="F1032" s="137" t="s">
        <v>5246</v>
      </c>
      <c r="G1032" s="137" t="s">
        <v>5247</v>
      </c>
      <c r="H1032" s="137" t="s">
        <v>5248</v>
      </c>
      <c r="I1032" s="113" t="s">
        <v>292</v>
      </c>
      <c r="J1032" s="108" t="str">
        <f t="shared" si="16"/>
        <v>156902</v>
      </c>
    </row>
    <row r="1033" spans="1:10" ht="15" customHeight="1" x14ac:dyDescent="0.25">
      <c r="A1033" t="str">
        <f>Table1[[#This Row],[District name]]&amp;" "&amp;Table1[[#This Row],[District number]]</f>
        <v>STEP CHARTER SCHOOL 101859</v>
      </c>
      <c r="B1033" t="s">
        <v>5249</v>
      </c>
      <c r="C1033" s="1"/>
      <c r="D1033" t="s">
        <v>5250</v>
      </c>
      <c r="E1033" s="2" t="s">
        <v>295</v>
      </c>
      <c r="F1033" s="137" t="s">
        <v>1459</v>
      </c>
      <c r="G1033" s="137" t="s">
        <v>1460</v>
      </c>
      <c r="H1033" s="137" t="s">
        <v>5251</v>
      </c>
      <c r="I1033" s="113" t="s">
        <v>292</v>
      </c>
      <c r="J1033" s="108" t="str">
        <f t="shared" si="16"/>
        <v>101859</v>
      </c>
    </row>
    <row r="1034" spans="1:10" ht="15" customHeight="1" x14ac:dyDescent="0.25">
      <c r="A1034" t="str">
        <f>Table1[[#This Row],[District name]]&amp;" "&amp;Table1[[#This Row],[District number]]</f>
        <v>STEPHEN F AUSTIN STATE UNIVERSITY CHARTER SCHOOL 174801</v>
      </c>
      <c r="B1034" t="s">
        <v>5252</v>
      </c>
      <c r="C1034" s="1"/>
      <c r="D1034" t="s">
        <v>5253</v>
      </c>
      <c r="E1034" s="2" t="s">
        <v>383</v>
      </c>
      <c r="F1034" s="137" t="s">
        <v>5254</v>
      </c>
      <c r="G1034" s="137" t="s">
        <v>5255</v>
      </c>
      <c r="H1034" s="137" t="s">
        <v>5256</v>
      </c>
      <c r="I1034" s="113" t="s">
        <v>292</v>
      </c>
      <c r="J1034" s="108" t="str">
        <f t="shared" si="16"/>
        <v>174801</v>
      </c>
    </row>
    <row r="1035" spans="1:10" ht="15" customHeight="1" x14ac:dyDescent="0.25">
      <c r="A1035" t="str">
        <f>Table1[[#This Row],[District name]]&amp;" "&amp;Table1[[#This Row],[District number]]</f>
        <v>STEPHENVILLE ISD 072903</v>
      </c>
      <c r="B1035" t="s">
        <v>5257</v>
      </c>
      <c r="C1035" s="1"/>
      <c r="D1035" t="s">
        <v>5258</v>
      </c>
      <c r="E1035" s="2" t="s">
        <v>402</v>
      </c>
      <c r="F1035" s="137" t="s">
        <v>5259</v>
      </c>
      <c r="G1035" s="137" t="s">
        <v>5260</v>
      </c>
      <c r="H1035" s="137" t="s">
        <v>5261</v>
      </c>
      <c r="I1035" s="113" t="s">
        <v>292</v>
      </c>
      <c r="J1035" s="108" t="str">
        <f t="shared" si="16"/>
        <v>072903</v>
      </c>
    </row>
    <row r="1036" spans="1:10" ht="15" customHeight="1" x14ac:dyDescent="0.25">
      <c r="A1036" t="str">
        <f>Table1[[#This Row],[District name]]&amp;" "&amp;Table1[[#This Row],[District number]]</f>
        <v>STERLING CITY ISD 216901</v>
      </c>
      <c r="B1036" t="s">
        <v>5262</v>
      </c>
      <c r="C1036" s="1"/>
      <c r="D1036" t="s">
        <v>5263</v>
      </c>
      <c r="E1036" s="2" t="s">
        <v>650</v>
      </c>
      <c r="F1036" s="137" t="s">
        <v>5264</v>
      </c>
      <c r="G1036" s="137" t="s">
        <v>5265</v>
      </c>
      <c r="H1036" s="137" t="s">
        <v>5266</v>
      </c>
      <c r="I1036" s="113" t="s">
        <v>292</v>
      </c>
      <c r="J1036" s="108" t="str">
        <f t="shared" si="16"/>
        <v>216901</v>
      </c>
    </row>
    <row r="1037" spans="1:10" ht="15" customHeight="1" x14ac:dyDescent="0.25">
      <c r="A1037" t="str">
        <f>Table1[[#This Row],[District name]]&amp;" "&amp;Table1[[#This Row],[District number]]</f>
        <v>STOCKDALE ISD 247906</v>
      </c>
      <c r="B1037" t="s">
        <v>5267</v>
      </c>
      <c r="C1037" s="1"/>
      <c r="D1037" t="s">
        <v>5268</v>
      </c>
      <c r="E1037" s="2" t="s">
        <v>376</v>
      </c>
      <c r="F1037" s="137" t="s">
        <v>5269</v>
      </c>
      <c r="G1037" s="137" t="s">
        <v>5270</v>
      </c>
      <c r="H1037" s="137" t="s">
        <v>5271</v>
      </c>
      <c r="I1037" s="113" t="s">
        <v>292</v>
      </c>
      <c r="J1037" s="108" t="str">
        <f t="shared" si="16"/>
        <v>247906</v>
      </c>
    </row>
    <row r="1038" spans="1:10" ht="15" customHeight="1" x14ac:dyDescent="0.25">
      <c r="A1038" t="str">
        <f>Table1[[#This Row],[District name]]&amp;" "&amp;Table1[[#This Row],[District number]]</f>
        <v>STRATFORD ISD 211902</v>
      </c>
      <c r="B1038" t="s">
        <v>5272</v>
      </c>
      <c r="C1038" s="1"/>
      <c r="D1038" t="s">
        <v>5273</v>
      </c>
      <c r="E1038" s="2" t="s">
        <v>356</v>
      </c>
      <c r="F1038" s="137" t="s">
        <v>1449</v>
      </c>
      <c r="G1038" s="137" t="s">
        <v>5274</v>
      </c>
      <c r="H1038" s="137" t="s">
        <v>5275</v>
      </c>
      <c r="I1038" s="113" t="s">
        <v>292</v>
      </c>
      <c r="J1038" s="108" t="str">
        <f t="shared" si="16"/>
        <v>211902</v>
      </c>
    </row>
    <row r="1039" spans="1:10" ht="15" customHeight="1" x14ac:dyDescent="0.25">
      <c r="A1039" t="str">
        <f>Table1[[#This Row],[District name]]&amp;" "&amp;Table1[[#This Row],[District number]]</f>
        <v>STRAWN ISD 182905</v>
      </c>
      <c r="B1039" t="s">
        <v>5276</v>
      </c>
      <c r="C1039" s="1"/>
      <c r="D1039" t="s">
        <v>5277</v>
      </c>
      <c r="E1039" s="2" t="s">
        <v>402</v>
      </c>
      <c r="F1039" s="137" t="s">
        <v>1689</v>
      </c>
      <c r="G1039" s="137" t="s">
        <v>5278</v>
      </c>
      <c r="H1039" s="137" t="s">
        <v>5279</v>
      </c>
      <c r="I1039" s="113" t="s">
        <v>292</v>
      </c>
      <c r="J1039" s="108" t="str">
        <f t="shared" si="16"/>
        <v>182905</v>
      </c>
    </row>
    <row r="1040" spans="1:10" ht="15" customHeight="1" x14ac:dyDescent="0.25">
      <c r="A1040" t="str">
        <f>Table1[[#This Row],[District name]]&amp;" "&amp;Table1[[#This Row],[District number]]</f>
        <v>SUDAN ISD 140908</v>
      </c>
      <c r="B1040" t="s">
        <v>5280</v>
      </c>
      <c r="C1040" s="1"/>
      <c r="D1040" t="s">
        <v>5281</v>
      </c>
      <c r="E1040" s="2" t="s">
        <v>308</v>
      </c>
      <c r="F1040" s="137" t="s">
        <v>2370</v>
      </c>
      <c r="G1040" s="137" t="s">
        <v>861</v>
      </c>
      <c r="H1040" s="137" t="s">
        <v>5282</v>
      </c>
      <c r="I1040" s="113" t="s">
        <v>292</v>
      </c>
      <c r="J1040" s="108" t="str">
        <f t="shared" si="16"/>
        <v>140908</v>
      </c>
    </row>
    <row r="1041" spans="1:10" ht="15" customHeight="1" x14ac:dyDescent="0.25">
      <c r="A1041" t="str">
        <f>Table1[[#This Row],[District name]]&amp;" "&amp;Table1[[#This Row],[District number]]</f>
        <v>SULPHUR BLUFF ISD 112910</v>
      </c>
      <c r="B1041" t="s">
        <v>5283</v>
      </c>
      <c r="C1041" s="1"/>
      <c r="D1041" t="s">
        <v>5284</v>
      </c>
      <c r="E1041" s="2" t="s">
        <v>587</v>
      </c>
      <c r="F1041" s="137" t="s">
        <v>5285</v>
      </c>
      <c r="G1041" s="137" t="s">
        <v>5286</v>
      </c>
      <c r="H1041" s="137" t="s">
        <v>5287</v>
      </c>
      <c r="I1041" s="113" t="s">
        <v>292</v>
      </c>
      <c r="J1041" s="108" t="str">
        <f t="shared" si="16"/>
        <v>112910</v>
      </c>
    </row>
    <row r="1042" spans="1:10" ht="15" customHeight="1" x14ac:dyDescent="0.25">
      <c r="A1042" t="str">
        <f>Table1[[#This Row],[District name]]&amp;" "&amp;Table1[[#This Row],[District number]]</f>
        <v>SULPHUR SPRINGS ISD 112901</v>
      </c>
      <c r="B1042" t="s">
        <v>5288</v>
      </c>
      <c r="C1042" s="1"/>
      <c r="D1042" t="s">
        <v>5289</v>
      </c>
      <c r="E1042" s="2" t="s">
        <v>587</v>
      </c>
      <c r="F1042" s="137" t="s">
        <v>5290</v>
      </c>
      <c r="G1042" s="137" t="s">
        <v>5291</v>
      </c>
      <c r="H1042" s="137" t="s">
        <v>5292</v>
      </c>
      <c r="I1042" s="113" t="s">
        <v>292</v>
      </c>
      <c r="J1042" s="108" t="str">
        <f t="shared" si="16"/>
        <v>112901</v>
      </c>
    </row>
    <row r="1043" spans="1:10" ht="15" customHeight="1" x14ac:dyDescent="0.25">
      <c r="A1043" t="str">
        <f>Table1[[#This Row],[District name]]&amp;" "&amp;Table1[[#This Row],[District number]]</f>
        <v>SUNDOWN ISD 110907</v>
      </c>
      <c r="B1043" t="s">
        <v>5293</v>
      </c>
      <c r="C1043" s="1"/>
      <c r="D1043" t="s">
        <v>5294</v>
      </c>
      <c r="E1043" s="2" t="s">
        <v>308</v>
      </c>
      <c r="F1043" s="137" t="s">
        <v>701</v>
      </c>
      <c r="G1043" s="137" t="s">
        <v>1134</v>
      </c>
      <c r="H1043" s="137" t="s">
        <v>1135</v>
      </c>
      <c r="I1043" s="113" t="s">
        <v>292</v>
      </c>
      <c r="J1043" s="108" t="str">
        <f t="shared" si="16"/>
        <v>110907</v>
      </c>
    </row>
    <row r="1044" spans="1:10" ht="15" customHeight="1" x14ac:dyDescent="0.25">
      <c r="A1044" t="str">
        <f>Table1[[#This Row],[District name]]&amp;" "&amp;Table1[[#This Row],[District number]]</f>
        <v>SUNNYVALE ISD 057919</v>
      </c>
      <c r="B1044" t="s">
        <v>5295</v>
      </c>
      <c r="C1044" s="1"/>
      <c r="D1044" t="s">
        <v>5296</v>
      </c>
      <c r="E1044" s="2" t="s">
        <v>288</v>
      </c>
      <c r="F1044" s="137" t="s">
        <v>5297</v>
      </c>
      <c r="G1044" s="137" t="s">
        <v>5298</v>
      </c>
      <c r="H1044" s="137" t="s">
        <v>5299</v>
      </c>
      <c r="I1044" s="113" t="s">
        <v>292</v>
      </c>
      <c r="J1044" s="108" t="str">
        <f t="shared" si="16"/>
        <v>057919</v>
      </c>
    </row>
    <row r="1045" spans="1:10" ht="15" customHeight="1" x14ac:dyDescent="0.25">
      <c r="A1045" t="str">
        <f>Table1[[#This Row],[District name]]&amp;" "&amp;Table1[[#This Row],[District number]]</f>
        <v>SUNRAY COLLEGIATE ISD 171902</v>
      </c>
      <c r="B1045" t="s">
        <v>5300</v>
      </c>
      <c r="C1045" s="1"/>
      <c r="D1045" t="s">
        <v>5301</v>
      </c>
      <c r="E1045" s="2" t="s">
        <v>356</v>
      </c>
      <c r="F1045" s="137" t="s">
        <v>5302</v>
      </c>
      <c r="G1045" s="137" t="s">
        <v>5303</v>
      </c>
      <c r="H1045" s="137" t="s">
        <v>5304</v>
      </c>
      <c r="I1045" s="113" t="s">
        <v>292</v>
      </c>
      <c r="J1045" s="108" t="str">
        <f t="shared" si="16"/>
        <v>171902</v>
      </c>
    </row>
    <row r="1046" spans="1:10" ht="15" customHeight="1" x14ac:dyDescent="0.25">
      <c r="A1046" t="str">
        <f>Table1[[#This Row],[District name]]&amp;" "&amp;Table1[[#This Row],[District number]]</f>
        <v>SWEENY ISD 020906</v>
      </c>
      <c r="B1046" t="s">
        <v>5305</v>
      </c>
      <c r="C1046" s="1"/>
      <c r="D1046" t="s">
        <v>5306</v>
      </c>
      <c r="E1046" s="2" t="s">
        <v>295</v>
      </c>
      <c r="F1046" s="137" t="s">
        <v>5307</v>
      </c>
      <c r="G1046" s="137" t="s">
        <v>5308</v>
      </c>
      <c r="H1046" s="137" t="s">
        <v>5309</v>
      </c>
      <c r="I1046" s="113" t="s">
        <v>292</v>
      </c>
      <c r="J1046" s="108" t="str">
        <f t="shared" si="16"/>
        <v>020906</v>
      </c>
    </row>
    <row r="1047" spans="1:10" ht="15" customHeight="1" x14ac:dyDescent="0.25">
      <c r="A1047" t="str">
        <f>Table1[[#This Row],[District name]]&amp;" "&amp;Table1[[#This Row],[District number]]</f>
        <v>SWEET HOME ISD 143905</v>
      </c>
      <c r="B1047" t="s">
        <v>5310</v>
      </c>
      <c r="C1047" s="1"/>
      <c r="D1047" t="s">
        <v>5311</v>
      </c>
      <c r="E1047" s="2" t="s">
        <v>614</v>
      </c>
      <c r="F1047" s="137" t="s">
        <v>5312</v>
      </c>
      <c r="G1047" s="137" t="s">
        <v>5313</v>
      </c>
      <c r="H1047" s="137" t="s">
        <v>5314</v>
      </c>
      <c r="I1047" s="113" t="s">
        <v>292</v>
      </c>
      <c r="J1047" s="108" t="str">
        <f t="shared" si="16"/>
        <v>143905</v>
      </c>
    </row>
    <row r="1048" spans="1:10" ht="15" customHeight="1" x14ac:dyDescent="0.25">
      <c r="A1048" t="str">
        <f>Table1[[#This Row],[District name]]&amp;" "&amp;Table1[[#This Row],[District number]]</f>
        <v>SWEETWATER ISD 177902</v>
      </c>
      <c r="B1048" t="s">
        <v>5315</v>
      </c>
      <c r="C1048" s="1"/>
      <c r="D1048" t="s">
        <v>5316</v>
      </c>
      <c r="E1048" s="2" t="s">
        <v>314</v>
      </c>
      <c r="F1048" s="137" t="s">
        <v>5317</v>
      </c>
      <c r="G1048" s="137" t="s">
        <v>5318</v>
      </c>
      <c r="H1048" s="137" t="s">
        <v>5319</v>
      </c>
      <c r="I1048" s="113" t="s">
        <v>292</v>
      </c>
      <c r="J1048" s="108" t="str">
        <f t="shared" si="16"/>
        <v>177902</v>
      </c>
    </row>
    <row r="1049" spans="1:10" ht="15" customHeight="1" x14ac:dyDescent="0.25">
      <c r="A1049" t="str">
        <f>Table1[[#This Row],[District name]]&amp;" "&amp;Table1[[#This Row],[District number]]</f>
        <v>TAFT ISD 205907</v>
      </c>
      <c r="B1049" t="s">
        <v>5320</v>
      </c>
      <c r="C1049" s="1"/>
      <c r="D1049" t="s">
        <v>5321</v>
      </c>
      <c r="E1049" s="2" t="s">
        <v>369</v>
      </c>
      <c r="F1049" s="137" t="s">
        <v>5188</v>
      </c>
      <c r="G1049" s="137" t="s">
        <v>5322</v>
      </c>
      <c r="H1049" s="137" t="s">
        <v>5323</v>
      </c>
      <c r="I1049" s="113" t="s">
        <v>292</v>
      </c>
      <c r="J1049" s="108" t="str">
        <f t="shared" si="16"/>
        <v>205907</v>
      </c>
    </row>
    <row r="1050" spans="1:10" ht="15" customHeight="1" x14ac:dyDescent="0.25">
      <c r="A1050" t="str">
        <f>Table1[[#This Row],[District name]]&amp;" "&amp;Table1[[#This Row],[District number]]</f>
        <v>TAHOKA ISD 153904</v>
      </c>
      <c r="B1050" t="s">
        <v>5324</v>
      </c>
      <c r="C1050" s="1"/>
      <c r="D1050" t="s">
        <v>5325</v>
      </c>
      <c r="E1050" s="2" t="s">
        <v>308</v>
      </c>
      <c r="F1050" s="137" t="s">
        <v>4174</v>
      </c>
      <c r="G1050" s="137" t="s">
        <v>4175</v>
      </c>
      <c r="H1050" s="137" t="s">
        <v>5326</v>
      </c>
      <c r="I1050" s="113" t="s">
        <v>292</v>
      </c>
      <c r="J1050" s="108" t="str">
        <f t="shared" si="16"/>
        <v>153904</v>
      </c>
    </row>
    <row r="1051" spans="1:10" ht="15" customHeight="1" x14ac:dyDescent="0.25">
      <c r="A1051" t="str">
        <f>Table1[[#This Row],[District name]]&amp;" "&amp;Table1[[#This Row],[District number]]</f>
        <v>TARKINGTON ISD 146907</v>
      </c>
      <c r="B1051" t="s">
        <v>5327</v>
      </c>
      <c r="C1051" s="1"/>
      <c r="D1051" t="s">
        <v>5328</v>
      </c>
      <c r="E1051" s="2" t="s">
        <v>295</v>
      </c>
      <c r="F1051" s="137" t="s">
        <v>4622</v>
      </c>
      <c r="G1051" s="137" t="s">
        <v>4623</v>
      </c>
      <c r="H1051" s="137" t="s">
        <v>5329</v>
      </c>
      <c r="I1051" s="113" t="s">
        <v>292</v>
      </c>
      <c r="J1051" s="108" t="str">
        <f t="shared" si="16"/>
        <v>146907</v>
      </c>
    </row>
    <row r="1052" spans="1:10" ht="15" customHeight="1" x14ac:dyDescent="0.25">
      <c r="A1052" t="str">
        <f>Table1[[#This Row],[District name]]&amp;" "&amp;Table1[[#This Row],[District number]]</f>
        <v>TATUM ISD 201910</v>
      </c>
      <c r="B1052" t="s">
        <v>5330</v>
      </c>
      <c r="C1052" s="1"/>
      <c r="D1052" t="s">
        <v>5331</v>
      </c>
      <c r="E1052" s="2" t="s">
        <v>383</v>
      </c>
      <c r="F1052" s="137" t="s">
        <v>5332</v>
      </c>
      <c r="G1052" s="137" t="s">
        <v>2581</v>
      </c>
      <c r="H1052" s="137" t="s">
        <v>5333</v>
      </c>
      <c r="I1052" s="113" t="s">
        <v>292</v>
      </c>
      <c r="J1052" s="108" t="str">
        <f t="shared" si="16"/>
        <v>201910</v>
      </c>
    </row>
    <row r="1053" spans="1:10" ht="15" customHeight="1" x14ac:dyDescent="0.25">
      <c r="A1053" t="str">
        <f>Table1[[#This Row],[District name]]&amp;" "&amp;Table1[[#This Row],[District number]]</f>
        <v>TAYLOR ISD 246911</v>
      </c>
      <c r="B1053" t="s">
        <v>5334</v>
      </c>
      <c r="C1053" s="1"/>
      <c r="D1053" t="s">
        <v>5335</v>
      </c>
      <c r="E1053" s="2" t="s">
        <v>598</v>
      </c>
      <c r="F1053" s="137" t="s">
        <v>5336</v>
      </c>
      <c r="G1053" s="137" t="s">
        <v>5337</v>
      </c>
      <c r="H1053" s="137" t="s">
        <v>5338</v>
      </c>
      <c r="I1053" s="113" t="s">
        <v>292</v>
      </c>
      <c r="J1053" s="108" t="str">
        <f t="shared" si="16"/>
        <v>246911</v>
      </c>
    </row>
    <row r="1054" spans="1:10" ht="15" customHeight="1" x14ac:dyDescent="0.25">
      <c r="A1054" t="str">
        <f>Table1[[#This Row],[District name]]&amp;" "&amp;Table1[[#This Row],[District number]]</f>
        <v>TEAGUE ISD 081904</v>
      </c>
      <c r="B1054" t="s">
        <v>5339</v>
      </c>
      <c r="C1054" s="1"/>
      <c r="D1054" t="s">
        <v>5340</v>
      </c>
      <c r="E1054" s="2" t="s">
        <v>301</v>
      </c>
      <c r="F1054" s="137" t="s">
        <v>5341</v>
      </c>
      <c r="G1054" s="137" t="s">
        <v>5342</v>
      </c>
      <c r="H1054" s="137" t="s">
        <v>5343</v>
      </c>
      <c r="I1054" s="113" t="s">
        <v>292</v>
      </c>
      <c r="J1054" s="108" t="str">
        <f t="shared" si="16"/>
        <v>081904</v>
      </c>
    </row>
    <row r="1055" spans="1:10" ht="15" customHeight="1" x14ac:dyDescent="0.25">
      <c r="A1055" t="str">
        <f>Table1[[#This Row],[District name]]&amp;" "&amp;Table1[[#This Row],[District number]]</f>
        <v>TEKOA ACADEMY OF ACCELERATED STUDIES STEM SCHOOL 123803</v>
      </c>
      <c r="B1055" t="s">
        <v>5344</v>
      </c>
      <c r="C1055" s="1"/>
      <c r="D1055" t="s">
        <v>5345</v>
      </c>
      <c r="E1055" s="2" t="s">
        <v>706</v>
      </c>
      <c r="F1055" s="137" t="s">
        <v>5346</v>
      </c>
      <c r="G1055" s="137" t="s">
        <v>5347</v>
      </c>
      <c r="H1055" s="137" t="s">
        <v>5348</v>
      </c>
      <c r="I1055" s="113" t="s">
        <v>292</v>
      </c>
      <c r="J1055" s="108" t="str">
        <f t="shared" si="16"/>
        <v>123803</v>
      </c>
    </row>
    <row r="1056" spans="1:10" ht="15" customHeight="1" x14ac:dyDescent="0.25">
      <c r="A1056" t="str">
        <f>Table1[[#This Row],[District name]]&amp;" "&amp;Table1[[#This Row],[District number]]</f>
        <v>TEMPLE ISD 014909</v>
      </c>
      <c r="B1056" t="s">
        <v>5349</v>
      </c>
      <c r="C1056" s="1"/>
      <c r="D1056" t="s">
        <v>5350</v>
      </c>
      <c r="E1056" s="2" t="s">
        <v>301</v>
      </c>
      <c r="F1056" s="137" t="s">
        <v>2160</v>
      </c>
      <c r="G1056" s="137" t="s">
        <v>2161</v>
      </c>
      <c r="H1056" s="137" t="s">
        <v>2162</v>
      </c>
      <c r="I1056" s="113" t="s">
        <v>292</v>
      </c>
      <c r="J1056" s="108" t="str">
        <f t="shared" si="16"/>
        <v>014909</v>
      </c>
    </row>
    <row r="1057" spans="1:10" ht="15" customHeight="1" x14ac:dyDescent="0.25">
      <c r="A1057" t="str">
        <f>Table1[[#This Row],[District name]]&amp;" "&amp;Table1[[#This Row],[District number]]</f>
        <v>TENAHA ISD 210904</v>
      </c>
      <c r="B1057" t="s">
        <v>5351</v>
      </c>
      <c r="C1057" s="1"/>
      <c r="D1057" t="s">
        <v>5352</v>
      </c>
      <c r="E1057" s="2" t="s">
        <v>383</v>
      </c>
      <c r="F1057" s="137" t="s">
        <v>5353</v>
      </c>
      <c r="G1057" s="137" t="s">
        <v>5354</v>
      </c>
      <c r="H1057" s="137" t="s">
        <v>5355</v>
      </c>
      <c r="I1057" s="113" t="s">
        <v>292</v>
      </c>
      <c r="J1057" s="108" t="str">
        <f t="shared" si="16"/>
        <v>210904</v>
      </c>
    </row>
    <row r="1058" spans="1:10" ht="15" customHeight="1" x14ac:dyDescent="0.25">
      <c r="A1058" t="str">
        <f>Table1[[#This Row],[District name]]&amp;" "&amp;Table1[[#This Row],[District number]]</f>
        <v>TERLINGUA CSD 022004</v>
      </c>
      <c r="B1058" t="s">
        <v>5356</v>
      </c>
      <c r="C1058" s="1"/>
      <c r="D1058" t="s">
        <v>5357</v>
      </c>
      <c r="E1058" s="2" t="s">
        <v>430</v>
      </c>
      <c r="F1058" s="137" t="s">
        <v>4822</v>
      </c>
      <c r="G1058" s="137" t="s">
        <v>5358</v>
      </c>
      <c r="H1058" s="137" t="s">
        <v>5359</v>
      </c>
      <c r="I1058" s="113" t="s">
        <v>292</v>
      </c>
      <c r="J1058" s="108" t="str">
        <f t="shared" si="16"/>
        <v>022004</v>
      </c>
    </row>
    <row r="1059" spans="1:10" ht="15" customHeight="1" x14ac:dyDescent="0.25">
      <c r="A1059" t="str">
        <f>Table1[[#This Row],[District name]]&amp;" "&amp;Table1[[#This Row],[District number]]</f>
        <v>TERRELL COUNTY ISD 222901</v>
      </c>
      <c r="B1059" t="s">
        <v>5360</v>
      </c>
      <c r="C1059" s="1"/>
      <c r="D1059" t="s">
        <v>5361</v>
      </c>
      <c r="E1059" s="2" t="s">
        <v>430</v>
      </c>
      <c r="F1059" s="137" t="s">
        <v>5167</v>
      </c>
      <c r="G1059" s="137" t="s">
        <v>5362</v>
      </c>
      <c r="H1059" s="137" t="s">
        <v>5363</v>
      </c>
      <c r="I1059" s="113" t="s">
        <v>292</v>
      </c>
      <c r="J1059" s="108" t="str">
        <f t="shared" si="16"/>
        <v>222901</v>
      </c>
    </row>
    <row r="1060" spans="1:10" ht="15" customHeight="1" x14ac:dyDescent="0.25">
      <c r="A1060" t="str">
        <f>Table1[[#This Row],[District name]]&amp;" "&amp;Table1[[#This Row],[District number]]</f>
        <v>TERRELL ISD 129906</v>
      </c>
      <c r="B1060" t="s">
        <v>5364</v>
      </c>
      <c r="C1060" s="1"/>
      <c r="D1060" t="s">
        <v>5365</v>
      </c>
      <c r="E1060" s="2" t="s">
        <v>288</v>
      </c>
      <c r="F1060" s="137" t="s">
        <v>5204</v>
      </c>
      <c r="G1060" s="137" t="s">
        <v>5205</v>
      </c>
      <c r="H1060" s="137" t="s">
        <v>5206</v>
      </c>
      <c r="I1060" s="113" t="s">
        <v>292</v>
      </c>
      <c r="J1060" s="108" t="str">
        <f t="shared" si="16"/>
        <v>129906</v>
      </c>
    </row>
    <row r="1061" spans="1:10" ht="15" customHeight="1" x14ac:dyDescent="0.25">
      <c r="A1061" t="str">
        <f>Table1[[#This Row],[District name]]&amp;" "&amp;Table1[[#This Row],[District number]]</f>
        <v>TEXANS CAN ACADEMIES 057804</v>
      </c>
      <c r="B1061" t="s">
        <v>5366</v>
      </c>
      <c r="C1061" s="1"/>
      <c r="D1061" t="s">
        <v>5367</v>
      </c>
      <c r="E1061" s="2" t="s">
        <v>288</v>
      </c>
      <c r="F1061" s="137" t="s">
        <v>886</v>
      </c>
      <c r="G1061" s="137" t="s">
        <v>887</v>
      </c>
      <c r="H1061" s="137" t="s">
        <v>5368</v>
      </c>
      <c r="I1061" s="113" t="s">
        <v>292</v>
      </c>
      <c r="J1061" s="108" t="str">
        <f t="shared" si="16"/>
        <v>057804</v>
      </c>
    </row>
    <row r="1062" spans="1:10" ht="15" customHeight="1" x14ac:dyDescent="0.25">
      <c r="A1062" t="str">
        <f>Table1[[#This Row],[District name]]&amp;" "&amp;Table1[[#This Row],[District number]]</f>
        <v>TEXARKANA ISD 019907</v>
      </c>
      <c r="B1062" t="s">
        <v>5369</v>
      </c>
      <c r="C1062" s="1"/>
      <c r="D1062" t="s">
        <v>5370</v>
      </c>
      <c r="E1062" s="2" t="s">
        <v>587</v>
      </c>
      <c r="F1062" s="137" t="s">
        <v>5371</v>
      </c>
      <c r="G1062" s="137" t="s">
        <v>5372</v>
      </c>
      <c r="H1062" s="137" t="s">
        <v>5373</v>
      </c>
      <c r="I1062" s="113" t="s">
        <v>292</v>
      </c>
      <c r="J1062" s="108" t="str">
        <f t="shared" si="16"/>
        <v>019907</v>
      </c>
    </row>
    <row r="1063" spans="1:10" ht="15" customHeight="1" x14ac:dyDescent="0.25">
      <c r="A1063" t="str">
        <f>Table1[[#This Row],[District name]]&amp;" "&amp;Table1[[#This Row],[District number]]</f>
        <v>TEXAS CITY ISD 084906</v>
      </c>
      <c r="B1063" t="s">
        <v>5374</v>
      </c>
      <c r="C1063" s="1"/>
      <c r="D1063" t="s">
        <v>5375</v>
      </c>
      <c r="E1063" s="2" t="s">
        <v>295</v>
      </c>
      <c r="F1063" s="137" t="s">
        <v>5376</v>
      </c>
      <c r="G1063" s="137" t="s">
        <v>5377</v>
      </c>
      <c r="H1063" s="137" t="s">
        <v>5378</v>
      </c>
      <c r="I1063" s="113" t="s">
        <v>292</v>
      </c>
      <c r="J1063" s="108" t="str">
        <f t="shared" si="16"/>
        <v>084906</v>
      </c>
    </row>
    <row r="1064" spans="1:10" ht="15" customHeight="1" x14ac:dyDescent="0.25">
      <c r="A1064" t="str">
        <f>Table1[[#This Row],[District name]]&amp;" "&amp;Table1[[#This Row],[District number]]</f>
        <v>TEXAS COLLEGE PREPARATORY ACADEMIES 221801</v>
      </c>
      <c r="B1064" t="s">
        <v>5379</v>
      </c>
      <c r="C1064" s="1"/>
      <c r="D1064" t="s">
        <v>5380</v>
      </c>
      <c r="E1064" s="2" t="s">
        <v>314</v>
      </c>
      <c r="F1064" s="137" t="s">
        <v>3216</v>
      </c>
      <c r="G1064" s="137" t="s">
        <v>5381</v>
      </c>
      <c r="H1064" s="137" t="s">
        <v>5382</v>
      </c>
      <c r="I1064" s="113" t="s">
        <v>292</v>
      </c>
      <c r="J1064" s="108" t="str">
        <f t="shared" si="16"/>
        <v>221801</v>
      </c>
    </row>
    <row r="1065" spans="1:10" ht="15" customHeight="1" x14ac:dyDescent="0.25">
      <c r="A1065" t="str">
        <f>Table1[[#This Row],[District name]]&amp;" "&amp;Table1[[#This Row],[District number]]</f>
        <v>TEXAS EMPOWERMENT ACADEMY 227805</v>
      </c>
      <c r="B1065" t="s">
        <v>5383</v>
      </c>
      <c r="C1065" s="1"/>
      <c r="D1065" t="s">
        <v>5384</v>
      </c>
      <c r="E1065" s="2" t="s">
        <v>598</v>
      </c>
      <c r="F1065" s="137" t="s">
        <v>3796</v>
      </c>
      <c r="G1065" s="137" t="s">
        <v>5385</v>
      </c>
      <c r="H1065" s="137" t="s">
        <v>5386</v>
      </c>
      <c r="I1065" s="113" t="s">
        <v>292</v>
      </c>
      <c r="J1065" s="108" t="str">
        <f t="shared" si="16"/>
        <v>227805</v>
      </c>
    </row>
    <row r="1066" spans="1:10" ht="15" customHeight="1" x14ac:dyDescent="0.25">
      <c r="A1066" t="str">
        <f>Table1[[#This Row],[District name]]&amp;" "&amp;Table1[[#This Row],[District number]]</f>
        <v>TEXAS LEADERSHIP PUBLIC SCHOOLS 226801</v>
      </c>
      <c r="B1066" t="s">
        <v>5387</v>
      </c>
      <c r="C1066" s="1"/>
      <c r="D1066" t="s">
        <v>5388</v>
      </c>
      <c r="E1066" s="2" t="s">
        <v>650</v>
      </c>
      <c r="F1066" s="137" t="s">
        <v>5389</v>
      </c>
      <c r="G1066" s="137" t="s">
        <v>5390</v>
      </c>
      <c r="H1066" s="137" t="s">
        <v>5391</v>
      </c>
      <c r="I1066" s="113" t="s">
        <v>292</v>
      </c>
      <c r="J1066" s="108" t="str">
        <f t="shared" si="16"/>
        <v>226801</v>
      </c>
    </row>
    <row r="1067" spans="1:10" ht="15" customHeight="1" x14ac:dyDescent="0.25">
      <c r="A1067" t="str">
        <f>Table1[[#This Row],[District name]]&amp;" "&amp;Table1[[#This Row],[District number]]</f>
        <v>TEXAS PREPARATORY SCHOOL 105802</v>
      </c>
      <c r="B1067" t="s">
        <v>5392</v>
      </c>
      <c r="C1067" s="1"/>
      <c r="D1067" t="s">
        <v>5393</v>
      </c>
      <c r="E1067" s="2" t="s">
        <v>598</v>
      </c>
      <c r="F1067" s="137" t="s">
        <v>5394</v>
      </c>
      <c r="G1067" s="137" t="s">
        <v>5395</v>
      </c>
      <c r="H1067" s="137" t="s">
        <v>5396</v>
      </c>
      <c r="I1067" s="113" t="s">
        <v>292</v>
      </c>
      <c r="J1067" s="108" t="str">
        <f t="shared" si="16"/>
        <v>105802</v>
      </c>
    </row>
    <row r="1068" spans="1:10" ht="15" customHeight="1" x14ac:dyDescent="0.25">
      <c r="A1068" t="str">
        <f>Table1[[#This Row],[District name]]&amp;" "&amp;Table1[[#This Row],[District number]]</f>
        <v>TEXAS SCH FOR THE BLIND &amp; VISUALLY IMPAIRED 227905</v>
      </c>
      <c r="B1068" t="s">
        <v>5397</v>
      </c>
      <c r="C1068" s="1"/>
      <c r="D1068" t="s">
        <v>5398</v>
      </c>
      <c r="E1068" s="2" t="s">
        <v>598</v>
      </c>
      <c r="F1068" s="137" t="s">
        <v>5399</v>
      </c>
      <c r="G1068" s="137" t="s">
        <v>5400</v>
      </c>
      <c r="H1068" s="137" t="s">
        <v>5401</v>
      </c>
      <c r="I1068" s="113" t="s">
        <v>292</v>
      </c>
      <c r="J1068" s="108" t="str">
        <f t="shared" si="16"/>
        <v>227905</v>
      </c>
    </row>
    <row r="1069" spans="1:10" ht="15" customHeight="1" x14ac:dyDescent="0.25">
      <c r="A1069" t="str">
        <f>Table1[[#This Row],[District name]]&amp;" "&amp;Table1[[#This Row],[District number]]</f>
        <v>TEXAS SCH FOR THE DEAF 227906</v>
      </c>
      <c r="B1069" t="s">
        <v>5402</v>
      </c>
      <c r="C1069" s="1"/>
      <c r="D1069" t="s">
        <v>5403</v>
      </c>
      <c r="E1069" s="2" t="s">
        <v>598</v>
      </c>
      <c r="F1069" s="137" t="s">
        <v>5404</v>
      </c>
      <c r="G1069" s="137" t="s">
        <v>5405</v>
      </c>
      <c r="H1069" s="137" t="s">
        <v>5406</v>
      </c>
      <c r="I1069" s="113" t="s">
        <v>292</v>
      </c>
      <c r="J1069" s="108" t="str">
        <f t="shared" si="16"/>
        <v>227906</v>
      </c>
    </row>
    <row r="1070" spans="1:10" ht="15" customHeight="1" x14ac:dyDescent="0.25">
      <c r="A1070" t="str">
        <f>Table1[[#This Row],[District name]]&amp;" "&amp;Table1[[#This Row],[District number]]</f>
        <v>TEXAS SCHOOL OF THE ARTS 220814</v>
      </c>
      <c r="B1070" t="s">
        <v>5407</v>
      </c>
      <c r="C1070" s="1"/>
      <c r="D1070" t="s">
        <v>5408</v>
      </c>
      <c r="E1070" s="2" t="s">
        <v>402</v>
      </c>
      <c r="F1070" s="137" t="s">
        <v>5409</v>
      </c>
      <c r="G1070" s="137" t="s">
        <v>5410</v>
      </c>
      <c r="H1070" s="137" t="s">
        <v>5411</v>
      </c>
      <c r="I1070" s="113" t="s">
        <v>292</v>
      </c>
      <c r="J1070" s="108" t="str">
        <f t="shared" si="16"/>
        <v>220814</v>
      </c>
    </row>
    <row r="1071" spans="1:10" ht="15" customHeight="1" x14ac:dyDescent="0.25">
      <c r="A1071" t="str">
        <f>Table1[[#This Row],[District name]]&amp;" "&amp;Table1[[#This Row],[District number]]</f>
        <v>TEXAS SERENITY ACADEMY 170801</v>
      </c>
      <c r="B1071" t="s">
        <v>5412</v>
      </c>
      <c r="C1071" s="1"/>
      <c r="D1071" t="s">
        <v>5413</v>
      </c>
      <c r="E1071" s="2" t="s">
        <v>2042</v>
      </c>
      <c r="F1071" s="137" t="s">
        <v>2042</v>
      </c>
      <c r="G1071" s="137" t="s">
        <v>2042</v>
      </c>
      <c r="H1071" s="137" t="s">
        <v>2042</v>
      </c>
      <c r="I1071" s="113" t="s">
        <v>292</v>
      </c>
      <c r="J1071" s="108" t="str">
        <f t="shared" si="16"/>
        <v>170801</v>
      </c>
    </row>
    <row r="1072" spans="1:10" ht="15" customHeight="1" x14ac:dyDescent="0.25">
      <c r="A1072" t="str">
        <f>Table1[[#This Row],[District name]]&amp;" "&amp;Table1[[#This Row],[District number]]</f>
        <v>TEXAS TECH UNIVERSITY K-12 152504</v>
      </c>
      <c r="B1072" t="s">
        <v>5414</v>
      </c>
      <c r="C1072" s="1"/>
      <c r="D1072" t="s">
        <v>5415</v>
      </c>
      <c r="E1072" s="2" t="s">
        <v>308</v>
      </c>
      <c r="F1072" s="137" t="s">
        <v>5416</v>
      </c>
      <c r="G1072" s="137" t="s">
        <v>4879</v>
      </c>
      <c r="H1072" s="137" t="s">
        <v>5417</v>
      </c>
      <c r="I1072" s="113" t="s">
        <v>292</v>
      </c>
      <c r="J1072" s="108" t="str">
        <f t="shared" si="16"/>
        <v>152504</v>
      </c>
    </row>
    <row r="1073" spans="1:10" ht="15" customHeight="1" x14ac:dyDescent="0.25">
      <c r="A1073" t="str">
        <f>Table1[[#This Row],[District name]]&amp;" "&amp;Table1[[#This Row],[District number]]</f>
        <v>TEXHOMA ISD 211901</v>
      </c>
      <c r="B1073" t="s">
        <v>5418</v>
      </c>
      <c r="C1073" s="1"/>
      <c r="D1073" t="s">
        <v>5419</v>
      </c>
      <c r="E1073" s="2" t="s">
        <v>356</v>
      </c>
      <c r="F1073" s="137" t="s">
        <v>3670</v>
      </c>
      <c r="G1073" s="137" t="s">
        <v>5420</v>
      </c>
      <c r="H1073" s="137" t="s">
        <v>5421</v>
      </c>
      <c r="I1073" s="113" t="s">
        <v>292</v>
      </c>
      <c r="J1073" s="108" t="str">
        <f t="shared" si="16"/>
        <v>211901</v>
      </c>
    </row>
    <row r="1074" spans="1:10" ht="15" customHeight="1" x14ac:dyDescent="0.25">
      <c r="A1074" t="str">
        <f>Table1[[#This Row],[District name]]&amp;" "&amp;Table1[[#This Row],[District number]]</f>
        <v>TEXLINE ISD 056902</v>
      </c>
      <c r="B1074" t="s">
        <v>5422</v>
      </c>
      <c r="C1074" s="1"/>
      <c r="D1074" t="s">
        <v>5423</v>
      </c>
      <c r="E1074" s="2" t="s">
        <v>356</v>
      </c>
      <c r="F1074" s="137" t="s">
        <v>5424</v>
      </c>
      <c r="G1074" s="137" t="s">
        <v>5425</v>
      </c>
      <c r="H1074" s="137" t="s">
        <v>5426</v>
      </c>
      <c r="I1074" s="113" t="s">
        <v>292</v>
      </c>
      <c r="J1074" s="108" t="str">
        <f t="shared" si="16"/>
        <v>056902</v>
      </c>
    </row>
    <row r="1075" spans="1:10" ht="15" customHeight="1" x14ac:dyDescent="0.25">
      <c r="A1075" t="str">
        <f>Table1[[#This Row],[District name]]&amp;" "&amp;Table1[[#This Row],[District number]]</f>
        <v>THE EXCEL CENTER (FOR ADULTS) 227827</v>
      </c>
      <c r="B1075" t="s">
        <v>5427</v>
      </c>
      <c r="C1075" s="1"/>
      <c r="D1075" t="s">
        <v>5428</v>
      </c>
      <c r="E1075" s="2" t="s">
        <v>598</v>
      </c>
      <c r="F1075" s="137" t="s">
        <v>5429</v>
      </c>
      <c r="G1075" s="137" t="s">
        <v>5430</v>
      </c>
      <c r="H1075" s="137" t="s">
        <v>5431</v>
      </c>
      <c r="I1075" s="113" t="s">
        <v>292</v>
      </c>
      <c r="J1075" s="108" t="str">
        <f t="shared" si="16"/>
        <v>227827</v>
      </c>
    </row>
    <row r="1076" spans="1:10" ht="15" customHeight="1" x14ac:dyDescent="0.25">
      <c r="A1076" t="str">
        <f>Table1[[#This Row],[District name]]&amp;" "&amp;Table1[[#This Row],[District number]]</f>
        <v>THE GATHERING PLACE 015841</v>
      </c>
      <c r="B1076" t="s">
        <v>5432</v>
      </c>
      <c r="C1076" s="1"/>
      <c r="D1076" t="s">
        <v>5433</v>
      </c>
      <c r="E1076" s="2" t="s">
        <v>376</v>
      </c>
      <c r="F1076" s="137" t="s">
        <v>5434</v>
      </c>
      <c r="G1076" s="137" t="s">
        <v>5435</v>
      </c>
      <c r="H1076" s="137" t="s">
        <v>5436</v>
      </c>
      <c r="I1076" s="113" t="s">
        <v>292</v>
      </c>
      <c r="J1076" s="108" t="str">
        <f t="shared" si="16"/>
        <v>015841</v>
      </c>
    </row>
    <row r="1077" spans="1:10" ht="15" customHeight="1" x14ac:dyDescent="0.25">
      <c r="A1077" t="str">
        <f>Table1[[#This Row],[District name]]&amp;" "&amp;Table1[[#This Row],[District number]]</f>
        <v>THE LAWSON ACADEMY 101864</v>
      </c>
      <c r="B1077" t="s">
        <v>5437</v>
      </c>
      <c r="C1077" s="1"/>
      <c r="D1077" t="s">
        <v>5438</v>
      </c>
      <c r="E1077" s="2" t="s">
        <v>295</v>
      </c>
      <c r="F1077" s="137" t="s">
        <v>5439</v>
      </c>
      <c r="G1077" s="137" t="s">
        <v>5440</v>
      </c>
      <c r="H1077" s="137" t="s">
        <v>5441</v>
      </c>
      <c r="I1077" s="113" t="s">
        <v>292</v>
      </c>
      <c r="J1077" s="108" t="str">
        <f t="shared" si="16"/>
        <v>101864</v>
      </c>
    </row>
    <row r="1078" spans="1:10" ht="15" customHeight="1" x14ac:dyDescent="0.25">
      <c r="A1078" t="str">
        <f>Table1[[#This Row],[District name]]&amp;" "&amp;Table1[[#This Row],[District number]]</f>
        <v>THE PRO-VISION ACADEMY 101868</v>
      </c>
      <c r="B1078" t="s">
        <v>5442</v>
      </c>
      <c r="C1078" s="1"/>
      <c r="D1078" t="s">
        <v>5443</v>
      </c>
      <c r="E1078" s="2" t="s">
        <v>295</v>
      </c>
      <c r="F1078" s="137" t="s">
        <v>5444</v>
      </c>
      <c r="G1078" s="137" t="s">
        <v>3782</v>
      </c>
      <c r="H1078" s="137" t="s">
        <v>3783</v>
      </c>
      <c r="I1078" s="113" t="s">
        <v>292</v>
      </c>
      <c r="J1078" s="108" t="str">
        <f t="shared" si="16"/>
        <v>101868</v>
      </c>
    </row>
    <row r="1079" spans="1:10" ht="15" customHeight="1" x14ac:dyDescent="0.25">
      <c r="A1079" t="str">
        <f>Table1[[#This Row],[District name]]&amp;" "&amp;Table1[[#This Row],[District number]]</f>
        <v>THE RHODES SCHOOL FOR PERFORMING ARTS 101861</v>
      </c>
      <c r="B1079" t="s">
        <v>5445</v>
      </c>
      <c r="C1079" s="1"/>
      <c r="D1079" t="s">
        <v>5446</v>
      </c>
      <c r="E1079" s="2" t="s">
        <v>295</v>
      </c>
      <c r="F1079" s="137" t="s">
        <v>5447</v>
      </c>
      <c r="G1079" s="137" t="s">
        <v>5448</v>
      </c>
      <c r="H1079" s="137" t="s">
        <v>5449</v>
      </c>
      <c r="I1079" s="113" t="s">
        <v>292</v>
      </c>
      <c r="J1079" s="108" t="str">
        <f t="shared" si="16"/>
        <v>101861</v>
      </c>
    </row>
    <row r="1080" spans="1:10" ht="15" customHeight="1" x14ac:dyDescent="0.25">
      <c r="A1080" t="str">
        <f>Table1[[#This Row],[District name]]&amp;" "&amp;Table1[[#This Row],[District number]]</f>
        <v>THE VARNETT PUBLIC SCHOOL 101814</v>
      </c>
      <c r="B1080" t="s">
        <v>5450</v>
      </c>
      <c r="C1080" s="1"/>
      <c r="D1080" t="s">
        <v>5451</v>
      </c>
      <c r="E1080" s="2" t="s">
        <v>295</v>
      </c>
      <c r="F1080" s="137" t="s">
        <v>4295</v>
      </c>
      <c r="G1080" s="137" t="s">
        <v>4296</v>
      </c>
      <c r="H1080" s="137" t="s">
        <v>5452</v>
      </c>
      <c r="I1080" s="113" t="s">
        <v>292</v>
      </c>
      <c r="J1080" s="108" t="str">
        <f t="shared" si="16"/>
        <v>101814</v>
      </c>
    </row>
    <row r="1081" spans="1:10" ht="15" customHeight="1" x14ac:dyDescent="0.25">
      <c r="A1081" t="str">
        <f>Table1[[#This Row],[District name]]&amp;" "&amp;Table1[[#This Row],[District number]]</f>
        <v>THORNDALE ISD 166905</v>
      </c>
      <c r="B1081" t="s">
        <v>5453</v>
      </c>
      <c r="C1081" s="1"/>
      <c r="D1081" t="s">
        <v>5454</v>
      </c>
      <c r="E1081" s="2" t="s">
        <v>480</v>
      </c>
      <c r="F1081" s="137" t="s">
        <v>5455</v>
      </c>
      <c r="G1081" s="137" t="s">
        <v>5456</v>
      </c>
      <c r="H1081" s="137" t="s">
        <v>5457</v>
      </c>
      <c r="I1081" s="113" t="s">
        <v>292</v>
      </c>
      <c r="J1081" s="108" t="str">
        <f t="shared" si="16"/>
        <v>166905</v>
      </c>
    </row>
    <row r="1082" spans="1:10" ht="15" customHeight="1" x14ac:dyDescent="0.25">
      <c r="A1082" t="str">
        <f>Table1[[#This Row],[District name]]&amp;" "&amp;Table1[[#This Row],[District number]]</f>
        <v>THRALL ISD 246912</v>
      </c>
      <c r="B1082" t="s">
        <v>5458</v>
      </c>
      <c r="C1082" s="1"/>
      <c r="D1082" t="s">
        <v>5459</v>
      </c>
      <c r="E1082" s="2" t="s">
        <v>598</v>
      </c>
      <c r="F1082" s="137" t="s">
        <v>1339</v>
      </c>
      <c r="G1082" s="137" t="s">
        <v>5460</v>
      </c>
      <c r="H1082" s="137" t="s">
        <v>5461</v>
      </c>
      <c r="I1082" s="113" t="s">
        <v>292</v>
      </c>
      <c r="J1082" s="108" t="str">
        <f t="shared" si="16"/>
        <v>246912</v>
      </c>
    </row>
    <row r="1083" spans="1:10" ht="15" customHeight="1" x14ac:dyDescent="0.25">
      <c r="A1083" t="str">
        <f>Table1[[#This Row],[District name]]&amp;" "&amp;Table1[[#This Row],[District number]]</f>
        <v>THREE RIVERS ISD 149902</v>
      </c>
      <c r="B1083" t="s">
        <v>5462</v>
      </c>
      <c r="C1083" s="1"/>
      <c r="D1083" t="s">
        <v>5463</v>
      </c>
      <c r="E1083" s="2" t="s">
        <v>369</v>
      </c>
      <c r="F1083" s="137" t="s">
        <v>5464</v>
      </c>
      <c r="G1083" s="137" t="s">
        <v>5465</v>
      </c>
      <c r="H1083" s="137" t="s">
        <v>5466</v>
      </c>
      <c r="I1083" s="113" t="s">
        <v>292</v>
      </c>
      <c r="J1083" s="108" t="str">
        <f t="shared" si="16"/>
        <v>149902</v>
      </c>
    </row>
    <row r="1084" spans="1:10" ht="15" customHeight="1" x14ac:dyDescent="0.25">
      <c r="A1084" t="str">
        <f>Table1[[#This Row],[District name]]&amp;" "&amp;Table1[[#This Row],[District number]]</f>
        <v>THREE WAY ISD 072901</v>
      </c>
      <c r="B1084" t="s">
        <v>5467</v>
      </c>
      <c r="C1084" s="1"/>
      <c r="D1084" t="s">
        <v>5468</v>
      </c>
      <c r="E1084" s="2" t="s">
        <v>402</v>
      </c>
      <c r="F1084" s="137" t="s">
        <v>5469</v>
      </c>
      <c r="G1084" s="137" t="s">
        <v>5470</v>
      </c>
      <c r="H1084" s="137" t="s">
        <v>5471</v>
      </c>
      <c r="I1084" s="113" t="s">
        <v>292</v>
      </c>
      <c r="J1084" s="108" t="str">
        <f t="shared" si="16"/>
        <v>072901</v>
      </c>
    </row>
    <row r="1085" spans="1:10" ht="15" customHeight="1" x14ac:dyDescent="0.25">
      <c r="A1085" t="s">
        <v>5472</v>
      </c>
      <c r="B1085" t="s">
        <v>5473</v>
      </c>
      <c r="C1085" s="1"/>
      <c r="D1085" t="s">
        <v>5472</v>
      </c>
      <c r="E1085" s="2" t="s">
        <v>480</v>
      </c>
      <c r="F1085" s="137" t="s">
        <v>5474</v>
      </c>
      <c r="G1085" s="137" t="s">
        <v>5475</v>
      </c>
      <c r="H1085" s="137" t="s">
        <v>5476</v>
      </c>
      <c r="I1085" s="113" t="s">
        <v>292</v>
      </c>
      <c r="J1085" s="108" t="str">
        <f>LEFT(B1085,6)</f>
        <v>170802</v>
      </c>
    </row>
    <row r="1086" spans="1:10" ht="15" customHeight="1" x14ac:dyDescent="0.25">
      <c r="A1086" t="str">
        <f>Table1[[#This Row],[District name]]&amp;" "&amp;Table1[[#This Row],[District number]]</f>
        <v>THROCKMORTON COLLEGIATE ISD 224901</v>
      </c>
      <c r="B1086" t="s">
        <v>5477</v>
      </c>
      <c r="C1086" s="1"/>
      <c r="D1086" t="s">
        <v>5478</v>
      </c>
      <c r="E1086" s="2" t="s">
        <v>541</v>
      </c>
      <c r="F1086" s="137" t="s">
        <v>5479</v>
      </c>
      <c r="G1086" s="137" t="s">
        <v>5480</v>
      </c>
      <c r="H1086" s="137" t="s">
        <v>5481</v>
      </c>
      <c r="I1086" s="113" t="s">
        <v>292</v>
      </c>
      <c r="J1086" s="108" t="str">
        <f t="shared" si="16"/>
        <v>224901</v>
      </c>
    </row>
    <row r="1087" spans="1:10" ht="15" customHeight="1" x14ac:dyDescent="0.25">
      <c r="A1087" t="str">
        <f>Table1[[#This Row],[District name]]&amp;" "&amp;Table1[[#This Row],[District number]]</f>
        <v>TIDEHAVEN ISD 158902</v>
      </c>
      <c r="B1087" t="s">
        <v>5482</v>
      </c>
      <c r="C1087" s="1"/>
      <c r="D1087" t="s">
        <v>5483</v>
      </c>
      <c r="E1087" s="2" t="s">
        <v>614</v>
      </c>
      <c r="F1087" s="137" t="s">
        <v>5484</v>
      </c>
      <c r="G1087" s="137" t="s">
        <v>5485</v>
      </c>
      <c r="H1087" s="137" t="s">
        <v>5486</v>
      </c>
      <c r="I1087" s="113" t="s">
        <v>292</v>
      </c>
      <c r="J1087" s="108" t="str">
        <f t="shared" si="16"/>
        <v>158902</v>
      </c>
    </row>
    <row r="1088" spans="1:10" ht="15" customHeight="1" x14ac:dyDescent="0.25">
      <c r="A1088" t="str">
        <f>Table1[[#This Row],[District name]]&amp;" "&amp;Table1[[#This Row],[District number]]</f>
        <v>TIMPSON ISD 210905</v>
      </c>
      <c r="B1088" t="s">
        <v>5487</v>
      </c>
      <c r="C1088" s="1"/>
      <c r="D1088" t="s">
        <v>5488</v>
      </c>
      <c r="E1088" s="2" t="s">
        <v>383</v>
      </c>
      <c r="F1088" s="137" t="s">
        <v>5489</v>
      </c>
      <c r="G1088" s="137" t="s">
        <v>5490</v>
      </c>
      <c r="H1088" s="137" t="s">
        <v>5491</v>
      </c>
      <c r="I1088" s="113" t="s">
        <v>292</v>
      </c>
      <c r="J1088" s="108" t="str">
        <f t="shared" si="16"/>
        <v>210905</v>
      </c>
    </row>
    <row r="1089" spans="1:10" ht="15" customHeight="1" x14ac:dyDescent="0.25">
      <c r="A1089" t="str">
        <f>Table1[[#This Row],[District name]]&amp;" "&amp;Table1[[#This Row],[District number]]</f>
        <v>TIOGA ISD 091907</v>
      </c>
      <c r="B1089" t="s">
        <v>5492</v>
      </c>
      <c r="C1089" s="1"/>
      <c r="D1089" t="s">
        <v>5493</v>
      </c>
      <c r="E1089" s="2" t="s">
        <v>288</v>
      </c>
      <c r="F1089" s="137" t="s">
        <v>3294</v>
      </c>
      <c r="G1089" s="137" t="s">
        <v>3295</v>
      </c>
      <c r="H1089" s="137" t="s">
        <v>3296</v>
      </c>
      <c r="I1089" s="113" t="s">
        <v>292</v>
      </c>
      <c r="J1089" s="108" t="str">
        <f t="shared" si="16"/>
        <v>091907</v>
      </c>
    </row>
    <row r="1090" spans="1:10" ht="15" customHeight="1" x14ac:dyDescent="0.25">
      <c r="A1090" t="str">
        <f>Table1[[#This Row],[District name]]&amp;" "&amp;Table1[[#This Row],[District number]]</f>
        <v>TOLAR ISD 111903</v>
      </c>
      <c r="B1090" t="s">
        <v>5494</v>
      </c>
      <c r="C1090" s="1"/>
      <c r="D1090" t="s">
        <v>5495</v>
      </c>
      <c r="E1090" s="2" t="s">
        <v>402</v>
      </c>
      <c r="F1090" s="137" t="s">
        <v>5496</v>
      </c>
      <c r="G1090" s="137" t="s">
        <v>5497</v>
      </c>
      <c r="H1090" s="137" t="s">
        <v>5498</v>
      </c>
      <c r="I1090" s="113" t="s">
        <v>292</v>
      </c>
      <c r="J1090" s="108" t="str">
        <f t="shared" si="16"/>
        <v>111903</v>
      </c>
    </row>
    <row r="1091" spans="1:10" ht="15" customHeight="1" x14ac:dyDescent="0.25">
      <c r="A1091" t="str">
        <f>Table1[[#This Row],[District name]]&amp;" "&amp;Table1[[#This Row],[District number]]</f>
        <v>TOM BEAN ISD 091918</v>
      </c>
      <c r="B1091" t="s">
        <v>5499</v>
      </c>
      <c r="C1091" s="1"/>
      <c r="D1091" t="s">
        <v>5500</v>
      </c>
      <c r="E1091" s="2" t="s">
        <v>288</v>
      </c>
      <c r="F1091" s="137" t="s">
        <v>5501</v>
      </c>
      <c r="G1091" s="137" t="s">
        <v>5502</v>
      </c>
      <c r="H1091" s="137" t="s">
        <v>5503</v>
      </c>
      <c r="I1091" s="113" t="s">
        <v>292</v>
      </c>
      <c r="J1091" s="108" t="str">
        <f t="shared" si="16"/>
        <v>091918</v>
      </c>
    </row>
    <row r="1092" spans="1:10" ht="15" customHeight="1" x14ac:dyDescent="0.25">
      <c r="A1092" t="str">
        <f>Table1[[#This Row],[District name]]&amp;" "&amp;Table1[[#This Row],[District number]]</f>
        <v>TOMBALL ISD 101921</v>
      </c>
      <c r="B1092" t="s">
        <v>5504</v>
      </c>
      <c r="C1092" s="1"/>
      <c r="D1092" t="s">
        <v>5505</v>
      </c>
      <c r="E1092" s="2" t="s">
        <v>295</v>
      </c>
      <c r="F1092" s="137" t="s">
        <v>3539</v>
      </c>
      <c r="G1092" s="137" t="s">
        <v>5506</v>
      </c>
      <c r="H1092" s="137" t="s">
        <v>5507</v>
      </c>
      <c r="I1092" s="113" t="s">
        <v>292</v>
      </c>
      <c r="J1092" s="108" t="str">
        <f t="shared" si="16"/>
        <v>101921</v>
      </c>
    </row>
    <row r="1093" spans="1:10" ht="15" customHeight="1" x14ac:dyDescent="0.25">
      <c r="A1093" t="str">
        <f>Table1[[#This Row],[District name]]&amp;" "&amp;Table1[[#This Row],[District number]]</f>
        <v>TORNILLO ISD 071908</v>
      </c>
      <c r="B1093" t="s">
        <v>5508</v>
      </c>
      <c r="C1093" s="1"/>
      <c r="D1093" t="s">
        <v>5509</v>
      </c>
      <c r="E1093" s="2" t="s">
        <v>507</v>
      </c>
      <c r="F1093" s="137" t="s">
        <v>5510</v>
      </c>
      <c r="G1093" s="137" t="s">
        <v>5511</v>
      </c>
      <c r="H1093" s="137" t="s">
        <v>5512</v>
      </c>
      <c r="I1093" s="113" t="s">
        <v>292</v>
      </c>
      <c r="J1093" s="108" t="str">
        <f t="shared" si="16"/>
        <v>071908</v>
      </c>
    </row>
    <row r="1094" spans="1:10" ht="15" customHeight="1" x14ac:dyDescent="0.25">
      <c r="A1094" t="str">
        <f>Table1[[#This Row],[District name]]&amp;" "&amp;Table1[[#This Row],[District number]]</f>
        <v>TREETOPS SCHOOL INTERNATIONAL 220801</v>
      </c>
      <c r="B1094" t="s">
        <v>5513</v>
      </c>
      <c r="C1094" s="1"/>
      <c r="D1094" t="s">
        <v>5514</v>
      </c>
      <c r="E1094" s="2" t="s">
        <v>402</v>
      </c>
      <c r="F1094" s="137" t="s">
        <v>5515</v>
      </c>
      <c r="G1094" s="137" t="s">
        <v>625</v>
      </c>
      <c r="H1094" s="137" t="s">
        <v>5516</v>
      </c>
      <c r="I1094" s="113" t="s">
        <v>292</v>
      </c>
      <c r="J1094" s="108" t="str">
        <f t="shared" si="16"/>
        <v>220801</v>
      </c>
    </row>
    <row r="1095" spans="1:10" ht="15" customHeight="1" x14ac:dyDescent="0.25">
      <c r="A1095" t="str">
        <f>Table1[[#This Row],[District name]]&amp;" "&amp;Table1[[#This Row],[District number]]</f>
        <v>TRENT ISD 221905</v>
      </c>
      <c r="B1095" t="s">
        <v>5517</v>
      </c>
      <c r="C1095" s="1"/>
      <c r="D1095" t="s">
        <v>5518</v>
      </c>
      <c r="E1095" s="2" t="s">
        <v>314</v>
      </c>
      <c r="F1095" s="137" t="s">
        <v>5519</v>
      </c>
      <c r="G1095" s="137" t="s">
        <v>5520</v>
      </c>
      <c r="H1095" s="137" t="s">
        <v>5521</v>
      </c>
      <c r="I1095" s="113" t="s">
        <v>292</v>
      </c>
      <c r="J1095" s="108" t="str">
        <f t="shared" si="16"/>
        <v>221905</v>
      </c>
    </row>
    <row r="1096" spans="1:10" ht="15" customHeight="1" x14ac:dyDescent="0.25">
      <c r="A1096" t="str">
        <f>Table1[[#This Row],[District name]]&amp;" "&amp;Table1[[#This Row],[District number]]</f>
        <v>TRENTON ISD 074912</v>
      </c>
      <c r="B1096" t="s">
        <v>5522</v>
      </c>
      <c r="C1096" s="1"/>
      <c r="D1096" t="s">
        <v>5523</v>
      </c>
      <c r="E1096" s="2" t="s">
        <v>288</v>
      </c>
      <c r="F1096" s="137" t="s">
        <v>5524</v>
      </c>
      <c r="G1096" s="137" t="s">
        <v>5525</v>
      </c>
      <c r="H1096" s="137" t="s">
        <v>5526</v>
      </c>
      <c r="I1096" s="113" t="s">
        <v>292</v>
      </c>
      <c r="J1096" s="108" t="str">
        <f t="shared" ref="J1096:J1158" si="17">LEFT(B1096,6)</f>
        <v>074912</v>
      </c>
    </row>
    <row r="1097" spans="1:10" ht="15" customHeight="1" x14ac:dyDescent="0.25">
      <c r="A1097" t="str">
        <f>Table1[[#This Row],[District name]]&amp;" "&amp;Table1[[#This Row],[District number]]</f>
        <v>TRINIDAD ISD 107907</v>
      </c>
      <c r="B1097" t="s">
        <v>5527</v>
      </c>
      <c r="C1097" s="1"/>
      <c r="D1097" t="s">
        <v>5528</v>
      </c>
      <c r="E1097" s="2" t="s">
        <v>383</v>
      </c>
      <c r="F1097" s="137" t="s">
        <v>5529</v>
      </c>
      <c r="G1097" s="137" t="s">
        <v>5530</v>
      </c>
      <c r="H1097" s="137" t="s">
        <v>5531</v>
      </c>
      <c r="I1097" s="113" t="s">
        <v>292</v>
      </c>
      <c r="J1097" s="108" t="str">
        <f t="shared" si="17"/>
        <v>107907</v>
      </c>
    </row>
    <row r="1098" spans="1:10" ht="15" customHeight="1" x14ac:dyDescent="0.25">
      <c r="A1098" t="str">
        <f>Table1[[#This Row],[District name]]&amp;" "&amp;Table1[[#This Row],[District number]]</f>
        <v>TRINITY BASIN PREPARATORY 057813</v>
      </c>
      <c r="B1098" t="s">
        <v>5532</v>
      </c>
      <c r="C1098" s="1"/>
      <c r="D1098" t="s">
        <v>5533</v>
      </c>
      <c r="E1098" s="2" t="s">
        <v>288</v>
      </c>
      <c r="F1098" s="137" t="s">
        <v>5534</v>
      </c>
      <c r="G1098" s="137" t="s">
        <v>5535</v>
      </c>
      <c r="H1098" s="137" t="s">
        <v>5536</v>
      </c>
      <c r="I1098" s="113" t="s">
        <v>292</v>
      </c>
      <c r="J1098" s="108" t="str">
        <f t="shared" si="17"/>
        <v>057813</v>
      </c>
    </row>
    <row r="1099" spans="1:10" ht="15" customHeight="1" x14ac:dyDescent="0.25">
      <c r="A1099" t="str">
        <f>Table1[[#This Row],[District name]]&amp;" "&amp;Table1[[#This Row],[District number]]</f>
        <v>TRINITY CHARTER SCHOOL 046802</v>
      </c>
      <c r="B1099" t="s">
        <v>5537</v>
      </c>
      <c r="C1099" s="1"/>
      <c r="D1099" t="s">
        <v>5538</v>
      </c>
      <c r="E1099" s="2" t="s">
        <v>598</v>
      </c>
      <c r="F1099" s="137" t="s">
        <v>5539</v>
      </c>
      <c r="G1099" s="137" t="s">
        <v>5540</v>
      </c>
      <c r="H1099" s="137" t="s">
        <v>5541</v>
      </c>
      <c r="I1099" s="113" t="s">
        <v>292</v>
      </c>
      <c r="J1099" s="108" t="str">
        <f t="shared" si="17"/>
        <v>046802</v>
      </c>
    </row>
    <row r="1100" spans="1:10" ht="15" customHeight="1" x14ac:dyDescent="0.25">
      <c r="A1100" t="str">
        <f>Table1[[#This Row],[District name]]&amp;" "&amp;Table1[[#This Row],[District number]]</f>
        <v>TRINITY ISD 228903</v>
      </c>
      <c r="B1100" t="s">
        <v>5542</v>
      </c>
      <c r="C1100" s="1"/>
      <c r="D1100" t="s">
        <v>5543</v>
      </c>
      <c r="E1100" s="2" t="s">
        <v>480</v>
      </c>
      <c r="F1100" s="137" t="s">
        <v>5544</v>
      </c>
      <c r="G1100" s="137" t="s">
        <v>5545</v>
      </c>
      <c r="H1100" s="137" t="s">
        <v>5546</v>
      </c>
      <c r="I1100" s="113" t="s">
        <v>292</v>
      </c>
      <c r="J1100" s="108" t="str">
        <f t="shared" si="17"/>
        <v>228903</v>
      </c>
    </row>
    <row r="1101" spans="1:10" ht="15" customHeight="1" x14ac:dyDescent="0.25">
      <c r="A1101" t="str">
        <f>Table1[[#This Row],[District name]]&amp;" "&amp;Table1[[#This Row],[District number]]</f>
        <v>TRIUMPH PUBLIC HIGH SCHOOLS-EL PASO 071803</v>
      </c>
      <c r="B1101" t="s">
        <v>5547</v>
      </c>
      <c r="C1101" s="1"/>
      <c r="D1101" t="s">
        <v>5548</v>
      </c>
      <c r="E1101" s="2" t="s">
        <v>507</v>
      </c>
      <c r="F1101" s="137" t="s">
        <v>5549</v>
      </c>
      <c r="G1101" s="137" t="s">
        <v>5550</v>
      </c>
      <c r="H1101" s="137" t="s">
        <v>5551</v>
      </c>
      <c r="I1101" s="113" t="s">
        <v>292</v>
      </c>
      <c r="J1101" s="108" t="str">
        <f t="shared" si="17"/>
        <v>071803</v>
      </c>
    </row>
    <row r="1102" spans="1:10" ht="15" customHeight="1" x14ac:dyDescent="0.25">
      <c r="A1102" t="str">
        <f>Table1[[#This Row],[District name]]&amp;" "&amp;Table1[[#This Row],[District number]]</f>
        <v>TRIUMPH PUBLIC HIGH SCHOOLS-LAREDO 240801</v>
      </c>
      <c r="B1102" t="s">
        <v>5552</v>
      </c>
      <c r="C1102" s="1"/>
      <c r="D1102" t="s">
        <v>5553</v>
      </c>
      <c r="E1102" s="2" t="s">
        <v>982</v>
      </c>
      <c r="F1102" s="137" t="s">
        <v>1008</v>
      </c>
      <c r="G1102" s="137" t="s">
        <v>4630</v>
      </c>
      <c r="H1102" s="137" t="s">
        <v>4631</v>
      </c>
      <c r="I1102" s="113" t="s">
        <v>292</v>
      </c>
      <c r="J1102" s="108" t="str">
        <f t="shared" si="17"/>
        <v>240801</v>
      </c>
    </row>
    <row r="1103" spans="1:10" ht="15" customHeight="1" x14ac:dyDescent="0.25">
      <c r="A1103" t="str">
        <f>Table1[[#This Row],[District name]]&amp;" "&amp;Table1[[#This Row],[District number]]</f>
        <v>TRIUMPH PUBLIC HIGH SCHOOLS-LUBBOCK 152803</v>
      </c>
      <c r="B1103" t="s">
        <v>5554</v>
      </c>
      <c r="C1103" s="1"/>
      <c r="D1103" t="s">
        <v>5555</v>
      </c>
      <c r="E1103" s="2" t="s">
        <v>308</v>
      </c>
      <c r="F1103" s="137" t="s">
        <v>5556</v>
      </c>
      <c r="G1103" s="137" t="s">
        <v>5557</v>
      </c>
      <c r="H1103" s="137" t="s">
        <v>5558</v>
      </c>
      <c r="I1103" s="113" t="s">
        <v>292</v>
      </c>
      <c r="J1103" s="108" t="str">
        <f t="shared" si="17"/>
        <v>152803</v>
      </c>
    </row>
    <row r="1104" spans="1:10" ht="15" customHeight="1" x14ac:dyDescent="0.25">
      <c r="A1104" t="str">
        <f>Table1[[#This Row],[District name]]&amp;" "&amp;Table1[[#This Row],[District number]]</f>
        <v>TRIUMPH PUBLIC HIGH SCHOOLS-RIO GRANDE VALLEY 108804</v>
      </c>
      <c r="B1104" t="s">
        <v>5559</v>
      </c>
      <c r="C1104" s="1"/>
      <c r="D1104" t="s">
        <v>5560</v>
      </c>
      <c r="E1104" s="2" t="s">
        <v>982</v>
      </c>
      <c r="F1104" s="137" t="s">
        <v>5561</v>
      </c>
      <c r="G1104" s="137" t="s">
        <v>5562</v>
      </c>
      <c r="H1104" s="137" t="s">
        <v>5563</v>
      </c>
      <c r="I1104" s="113" t="s">
        <v>292</v>
      </c>
      <c r="J1104" s="108" t="str">
        <f t="shared" si="17"/>
        <v>108804</v>
      </c>
    </row>
    <row r="1105" spans="1:10" ht="15" customHeight="1" x14ac:dyDescent="0.25">
      <c r="A1105" t="str">
        <f>Table1[[#This Row],[District name]]&amp;" "&amp;Table1[[#This Row],[District number]]</f>
        <v>TRIVIUM ACADEMY 061805</v>
      </c>
      <c r="B1105" t="s">
        <v>5564</v>
      </c>
      <c r="C1105" s="1"/>
      <c r="D1105" t="s">
        <v>5565</v>
      </c>
      <c r="E1105" s="2" t="s">
        <v>402</v>
      </c>
      <c r="F1105" s="137" t="s">
        <v>5566</v>
      </c>
      <c r="G1105" s="137" t="s">
        <v>5567</v>
      </c>
      <c r="H1105" s="137" t="s">
        <v>5568</v>
      </c>
      <c r="I1105" s="113" t="s">
        <v>292</v>
      </c>
      <c r="J1105" s="108" t="str">
        <f t="shared" si="17"/>
        <v>061805</v>
      </c>
    </row>
    <row r="1106" spans="1:10" ht="15" customHeight="1" x14ac:dyDescent="0.25">
      <c r="A1106" t="str">
        <f>Table1[[#This Row],[District name]]&amp;" "&amp;Table1[[#This Row],[District number]]</f>
        <v>TROUP ISD 212904</v>
      </c>
      <c r="B1106" t="s">
        <v>5569</v>
      </c>
      <c r="C1106" s="1"/>
      <c r="D1106" t="s">
        <v>5570</v>
      </c>
      <c r="E1106" s="2" t="s">
        <v>383</v>
      </c>
      <c r="F1106" s="137" t="s">
        <v>3261</v>
      </c>
      <c r="G1106" s="137" t="s">
        <v>5571</v>
      </c>
      <c r="H1106" s="137" t="s">
        <v>5572</v>
      </c>
      <c r="I1106" s="113" t="s">
        <v>292</v>
      </c>
      <c r="J1106" s="108" t="str">
        <f t="shared" si="17"/>
        <v>212904</v>
      </c>
    </row>
    <row r="1107" spans="1:10" ht="15" customHeight="1" x14ac:dyDescent="0.25">
      <c r="A1107" t="str">
        <f>Table1[[#This Row],[District name]]&amp;" "&amp;Table1[[#This Row],[District number]]</f>
        <v>TROY ISD 014910</v>
      </c>
      <c r="B1107" t="s">
        <v>5573</v>
      </c>
      <c r="C1107" s="1"/>
      <c r="D1107" t="s">
        <v>5574</v>
      </c>
      <c r="E1107" s="2" t="s">
        <v>301</v>
      </c>
      <c r="F1107" s="137" t="s">
        <v>1419</v>
      </c>
      <c r="G1107" s="137" t="s">
        <v>5575</v>
      </c>
      <c r="H1107" s="137" t="s">
        <v>5576</v>
      </c>
      <c r="I1107" s="113" t="s">
        <v>292</v>
      </c>
      <c r="J1107" s="108" t="str">
        <f t="shared" si="17"/>
        <v>014910</v>
      </c>
    </row>
    <row r="1108" spans="1:10" ht="15" customHeight="1" x14ac:dyDescent="0.25">
      <c r="A1108" t="str">
        <f>Table1[[#This Row],[District name]]&amp;" "&amp;Table1[[#This Row],[District number]]</f>
        <v>TULIA ISD 219903</v>
      </c>
      <c r="B1108" t="s">
        <v>5577</v>
      </c>
      <c r="C1108" s="1"/>
      <c r="D1108" t="s">
        <v>5578</v>
      </c>
      <c r="E1108" s="2" t="s">
        <v>356</v>
      </c>
      <c r="F1108" s="137" t="s">
        <v>5579</v>
      </c>
      <c r="G1108" s="137" t="s">
        <v>5580</v>
      </c>
      <c r="H1108" s="137" t="s">
        <v>5581</v>
      </c>
      <c r="I1108" s="113" t="s">
        <v>292</v>
      </c>
      <c r="J1108" s="108" t="str">
        <f t="shared" si="17"/>
        <v>219903</v>
      </c>
    </row>
    <row r="1109" spans="1:10" ht="15" customHeight="1" x14ac:dyDescent="0.25">
      <c r="A1109" t="str">
        <f>Table1[[#This Row],[District name]]&amp;" "&amp;Table1[[#This Row],[District number]]</f>
        <v>TULOSO-MIDWAY ISD 178912</v>
      </c>
      <c r="B1109" t="s">
        <v>5582</v>
      </c>
      <c r="C1109" s="1"/>
      <c r="D1109" t="s">
        <v>5583</v>
      </c>
      <c r="E1109" s="2" t="s">
        <v>369</v>
      </c>
      <c r="F1109" s="137" t="s">
        <v>5584</v>
      </c>
      <c r="G1109" s="137" t="s">
        <v>5585</v>
      </c>
      <c r="H1109" s="137" t="s">
        <v>5586</v>
      </c>
      <c r="I1109" s="113" t="s">
        <v>292</v>
      </c>
      <c r="J1109" s="108" t="str">
        <f t="shared" si="17"/>
        <v>178912</v>
      </c>
    </row>
    <row r="1110" spans="1:10" ht="15" customHeight="1" x14ac:dyDescent="0.25">
      <c r="A1110" t="str">
        <f>Table1[[#This Row],[District name]]&amp;" "&amp;Table1[[#This Row],[District number]]</f>
        <v>TURKEY-QUITAQUE ISD 096905</v>
      </c>
      <c r="B1110" t="s">
        <v>5587</v>
      </c>
      <c r="C1110" s="1"/>
      <c r="D1110" t="s">
        <v>5588</v>
      </c>
      <c r="E1110" s="2" t="s">
        <v>356</v>
      </c>
      <c r="F1110" s="137" t="s">
        <v>5589</v>
      </c>
      <c r="G1110" s="137" t="s">
        <v>5590</v>
      </c>
      <c r="H1110" s="137" t="s">
        <v>5591</v>
      </c>
      <c r="I1110" s="113" t="s">
        <v>292</v>
      </c>
      <c r="J1110" s="108" t="str">
        <f t="shared" si="17"/>
        <v>096905</v>
      </c>
    </row>
    <row r="1111" spans="1:10" ht="15" customHeight="1" x14ac:dyDescent="0.25">
      <c r="A1111" t="str">
        <f>Table1[[#This Row],[District name]]&amp;" "&amp;Table1[[#This Row],[District number]]</f>
        <v>TWO DIMENSIONS PREPARATORY ACADEMY 101840</v>
      </c>
      <c r="B1111" t="s">
        <v>5592</v>
      </c>
      <c r="C1111" s="1"/>
      <c r="D1111" t="s">
        <v>5593</v>
      </c>
      <c r="E1111" s="2" t="s">
        <v>295</v>
      </c>
      <c r="F1111" s="137" t="s">
        <v>5594</v>
      </c>
      <c r="G1111" s="137" t="s">
        <v>5595</v>
      </c>
      <c r="H1111" s="137" t="s">
        <v>5596</v>
      </c>
      <c r="I1111" s="113" t="s">
        <v>292</v>
      </c>
      <c r="J1111" s="108" t="str">
        <f t="shared" si="17"/>
        <v>101840</v>
      </c>
    </row>
    <row r="1112" spans="1:10" ht="15" customHeight="1" x14ac:dyDescent="0.25">
      <c r="A1112" t="str">
        <f>Table1[[#This Row],[District name]]&amp;" "&amp;Table1[[#This Row],[District number]]</f>
        <v>TYLER ISD 212905</v>
      </c>
      <c r="B1112" t="s">
        <v>5597</v>
      </c>
      <c r="C1112" s="1"/>
      <c r="D1112" t="s">
        <v>5598</v>
      </c>
      <c r="E1112" s="2" t="s">
        <v>383</v>
      </c>
      <c r="F1112" s="137" t="s">
        <v>5599</v>
      </c>
      <c r="G1112" s="137" t="s">
        <v>5600</v>
      </c>
      <c r="H1112" s="137" t="s">
        <v>5601</v>
      </c>
      <c r="I1112" s="113" t="s">
        <v>292</v>
      </c>
      <c r="J1112" s="108" t="str">
        <f t="shared" si="17"/>
        <v>212905</v>
      </c>
    </row>
    <row r="1113" spans="1:10" ht="15" customHeight="1" x14ac:dyDescent="0.25">
      <c r="A1113" t="str">
        <f>Table1[[#This Row],[District name]]&amp;" "&amp;Table1[[#This Row],[District number]]</f>
        <v>UME PREPARATORY ACADEMY 057845</v>
      </c>
      <c r="B1113" t="s">
        <v>5602</v>
      </c>
      <c r="C1113" s="1"/>
      <c r="D1113" t="s">
        <v>5603</v>
      </c>
      <c r="E1113" s="2" t="s">
        <v>288</v>
      </c>
      <c r="F1113" s="137" t="s">
        <v>5604</v>
      </c>
      <c r="G1113" s="137" t="s">
        <v>5605</v>
      </c>
      <c r="H1113" s="137" t="s">
        <v>5606</v>
      </c>
      <c r="I1113" s="113" t="s">
        <v>292</v>
      </c>
      <c r="J1113" s="108" t="str">
        <f t="shared" si="17"/>
        <v>057845</v>
      </c>
    </row>
    <row r="1114" spans="1:10" ht="15" customHeight="1" x14ac:dyDescent="0.25">
      <c r="A1114" t="str">
        <f>Table1[[#This Row],[District name]]&amp;" "&amp;Table1[[#This Row],[District number]]</f>
        <v>UNION GROVE ISD 230908</v>
      </c>
      <c r="B1114" t="s">
        <v>5607</v>
      </c>
      <c r="C1114" s="1"/>
      <c r="D1114" t="s">
        <v>5608</v>
      </c>
      <c r="E1114" s="2" t="s">
        <v>383</v>
      </c>
      <c r="F1114" s="137" t="s">
        <v>5609</v>
      </c>
      <c r="G1114" s="137" t="s">
        <v>5610</v>
      </c>
      <c r="H1114" s="137" t="s">
        <v>5611</v>
      </c>
      <c r="I1114" s="113" t="s">
        <v>292</v>
      </c>
      <c r="J1114" s="108" t="str">
        <f t="shared" si="17"/>
        <v>230908</v>
      </c>
    </row>
    <row r="1115" spans="1:10" ht="15" customHeight="1" x14ac:dyDescent="0.25">
      <c r="A1115" t="str">
        <f>Table1[[#This Row],[District name]]&amp;" "&amp;Table1[[#This Row],[District number]]</f>
        <v>UNION HILL ISD 230904</v>
      </c>
      <c r="B1115" t="s">
        <v>5612</v>
      </c>
      <c r="C1115" s="1"/>
      <c r="D1115" t="s">
        <v>5613</v>
      </c>
      <c r="E1115" s="2" t="s">
        <v>383</v>
      </c>
      <c r="F1115" s="137" t="s">
        <v>1138</v>
      </c>
      <c r="G1115" s="137" t="s">
        <v>1139</v>
      </c>
      <c r="H1115" s="137" t="s">
        <v>1140</v>
      </c>
      <c r="I1115" s="113" t="s">
        <v>292</v>
      </c>
      <c r="J1115" s="108" t="str">
        <f t="shared" si="17"/>
        <v>230904</v>
      </c>
    </row>
    <row r="1116" spans="1:10" ht="15" customHeight="1" x14ac:dyDescent="0.25">
      <c r="A1116" t="str">
        <f>Table1[[#This Row],[District name]]&amp;" "&amp;Table1[[#This Row],[District number]]</f>
        <v>UNITED ISD 240903</v>
      </c>
      <c r="B1116" t="s">
        <v>5614</v>
      </c>
      <c r="C1116" s="1"/>
      <c r="D1116" t="s">
        <v>5615</v>
      </c>
      <c r="E1116" s="2" t="s">
        <v>982</v>
      </c>
      <c r="F1116" s="137" t="s">
        <v>5616</v>
      </c>
      <c r="G1116" s="137" t="s">
        <v>5617</v>
      </c>
      <c r="H1116" s="137" t="s">
        <v>5618</v>
      </c>
      <c r="I1116" s="113" t="s">
        <v>292</v>
      </c>
      <c r="J1116" s="108" t="str">
        <f t="shared" si="17"/>
        <v>240903</v>
      </c>
    </row>
    <row r="1117" spans="1:10" ht="15" customHeight="1" x14ac:dyDescent="0.25">
      <c r="A1117" t="str">
        <f>Table1[[#This Row],[District name]]&amp;" "&amp;Table1[[#This Row],[District number]]</f>
        <v>UNIVERSAL ACADEMY 057808</v>
      </c>
      <c r="B1117" t="s">
        <v>5619</v>
      </c>
      <c r="C1117" s="1"/>
      <c r="D1117" t="s">
        <v>5620</v>
      </c>
      <c r="E1117" s="2" t="s">
        <v>288</v>
      </c>
      <c r="F1117" s="137" t="s">
        <v>5621</v>
      </c>
      <c r="G1117" s="137" t="s">
        <v>5622</v>
      </c>
      <c r="H1117" s="137" t="s">
        <v>5623</v>
      </c>
      <c r="I1117" s="113" t="s">
        <v>292</v>
      </c>
      <c r="J1117" s="108" t="str">
        <f t="shared" si="17"/>
        <v>057808</v>
      </c>
    </row>
    <row r="1118" spans="1:10" ht="15" customHeight="1" x14ac:dyDescent="0.25">
      <c r="A1118" t="str">
        <f>Table1[[#This Row],[District name]]&amp;" "&amp;Table1[[#This Row],[District number]]</f>
        <v>UNIVERSITY OF TEXAS AT AUSTIN H S 227506</v>
      </c>
      <c r="B1118" t="s">
        <v>5624</v>
      </c>
      <c r="C1118" s="1"/>
      <c r="D1118" t="s">
        <v>5625</v>
      </c>
      <c r="E1118" s="2" t="s">
        <v>598</v>
      </c>
      <c r="F1118" s="137" t="s">
        <v>5626</v>
      </c>
      <c r="G1118" s="137" t="s">
        <v>5627</v>
      </c>
      <c r="H1118" s="137" t="s">
        <v>5628</v>
      </c>
      <c r="I1118" s="113" t="s">
        <v>292</v>
      </c>
      <c r="J1118" s="108" t="str">
        <f t="shared" si="17"/>
        <v>227506</v>
      </c>
    </row>
    <row r="1119" spans="1:10" ht="15" customHeight="1" x14ac:dyDescent="0.25">
      <c r="A1119" t="str">
        <f>Table1[[#This Row],[District name]]&amp;" "&amp;Table1[[#This Row],[District number]]</f>
        <v>UNIVERSITY OF TEXAS ELEMENTARY CHARTER SCHOOL 227819</v>
      </c>
      <c r="B1119" t="s">
        <v>5629</v>
      </c>
      <c r="C1119" s="1"/>
      <c r="D1119" t="s">
        <v>5630</v>
      </c>
      <c r="E1119" s="2" t="s">
        <v>598</v>
      </c>
      <c r="F1119" s="137" t="s">
        <v>4976</v>
      </c>
      <c r="G1119" s="137" t="s">
        <v>5631</v>
      </c>
      <c r="H1119" s="137" t="s">
        <v>5632</v>
      </c>
      <c r="I1119" s="113" t="s">
        <v>292</v>
      </c>
      <c r="J1119" s="108" t="str">
        <f t="shared" si="17"/>
        <v>227819</v>
      </c>
    </row>
    <row r="1120" spans="1:10" ht="15" customHeight="1" x14ac:dyDescent="0.25">
      <c r="A1120" t="str">
        <f>Table1[[#This Row],[District name]]&amp;" "&amp;Table1[[#This Row],[District number]]</f>
        <v>UNIVERSITY OF TEXAS UNIVERSITY CHARTER SCHOOL 227806</v>
      </c>
      <c r="B1120" t="s">
        <v>5633</v>
      </c>
      <c r="C1120" s="1"/>
      <c r="D1120" t="s">
        <v>5634</v>
      </c>
      <c r="E1120" s="2" t="s">
        <v>598</v>
      </c>
      <c r="F1120" s="137" t="s">
        <v>5635</v>
      </c>
      <c r="G1120" s="137" t="s">
        <v>5636</v>
      </c>
      <c r="H1120" s="137" t="s">
        <v>5637</v>
      </c>
      <c r="I1120" s="113" t="s">
        <v>292</v>
      </c>
      <c r="J1120" s="108" t="str">
        <f t="shared" si="17"/>
        <v>227806</v>
      </c>
    </row>
    <row r="1121" spans="1:10" ht="15" customHeight="1" x14ac:dyDescent="0.25">
      <c r="A1121" t="str">
        <f>Table1[[#This Row],[District name]]&amp;" "&amp;Table1[[#This Row],[District number]]</f>
        <v>UPLIFT EDUCATION 057803</v>
      </c>
      <c r="B1121" t="s">
        <v>5638</v>
      </c>
      <c r="C1121" s="1"/>
      <c r="D1121" t="s">
        <v>5639</v>
      </c>
      <c r="E1121" s="2" t="s">
        <v>288</v>
      </c>
      <c r="F1121" s="137" t="s">
        <v>5640</v>
      </c>
      <c r="G1121" s="137" t="s">
        <v>5641</v>
      </c>
      <c r="H1121" s="137" t="s">
        <v>5642</v>
      </c>
      <c r="I1121" s="113" t="s">
        <v>292</v>
      </c>
      <c r="J1121" s="108" t="str">
        <f t="shared" si="17"/>
        <v>057803</v>
      </c>
    </row>
    <row r="1122" spans="1:10" ht="15" customHeight="1" x14ac:dyDescent="0.25">
      <c r="A1122" t="str">
        <f>Table1[[#This Row],[District name]]&amp;" "&amp;Table1[[#This Row],[District number]]</f>
        <v>UT TYLER UNIVERSITY ACADEMY 212804</v>
      </c>
      <c r="B1122" t="s">
        <v>5643</v>
      </c>
      <c r="C1122" s="1"/>
      <c r="D1122" t="s">
        <v>5644</v>
      </c>
      <c r="E1122" s="2" t="s">
        <v>383</v>
      </c>
      <c r="F1122" s="137" t="s">
        <v>5645</v>
      </c>
      <c r="G1122" s="137" t="s">
        <v>5646</v>
      </c>
      <c r="H1122" s="137" t="s">
        <v>5647</v>
      </c>
      <c r="I1122" s="113" t="s">
        <v>292</v>
      </c>
      <c r="J1122" s="108" t="str">
        <f t="shared" si="17"/>
        <v>212804</v>
      </c>
    </row>
    <row r="1123" spans="1:10" ht="15" customHeight="1" x14ac:dyDescent="0.25">
      <c r="A1123" t="str">
        <f>Table1[[#This Row],[District name]]&amp;" "&amp;Table1[[#This Row],[District number]]</f>
        <v>UTOPIA ISD 232904</v>
      </c>
      <c r="B1123" t="s">
        <v>5648</v>
      </c>
      <c r="C1123" s="1"/>
      <c r="D1123" t="s">
        <v>5649</v>
      </c>
      <c r="E1123" s="2" t="s">
        <v>376</v>
      </c>
      <c r="F1123" s="137" t="s">
        <v>4080</v>
      </c>
      <c r="G1123" s="137" t="s">
        <v>4081</v>
      </c>
      <c r="H1123" s="137" t="s">
        <v>4082</v>
      </c>
      <c r="I1123" s="113" t="s">
        <v>292</v>
      </c>
      <c r="J1123" s="108" t="str">
        <f t="shared" si="17"/>
        <v>232904</v>
      </c>
    </row>
    <row r="1124" spans="1:10" ht="15" customHeight="1" x14ac:dyDescent="0.25">
      <c r="A1124" t="str">
        <f>Table1[[#This Row],[District name]]&amp;" "&amp;Table1[[#This Row],[District number]]</f>
        <v>UVALDE CISD 232903</v>
      </c>
      <c r="B1124" t="s">
        <v>5650</v>
      </c>
      <c r="C1124" s="1"/>
      <c r="D1124" t="s">
        <v>5651</v>
      </c>
      <c r="E1124" s="2" t="s">
        <v>376</v>
      </c>
      <c r="F1124" s="137" t="s">
        <v>5652</v>
      </c>
      <c r="G1124" s="137" t="s">
        <v>5653</v>
      </c>
      <c r="H1124" s="137" t="s">
        <v>5654</v>
      </c>
      <c r="I1124" s="113" t="s">
        <v>292</v>
      </c>
      <c r="J1124" s="108" t="str">
        <f t="shared" si="17"/>
        <v>232903</v>
      </c>
    </row>
    <row r="1125" spans="1:10" ht="15" customHeight="1" x14ac:dyDescent="0.25">
      <c r="A1125" t="str">
        <f>Table1[[#This Row],[District name]]&amp;" "&amp;Table1[[#This Row],[District number]]</f>
        <v>VALENTINE ISD 122902</v>
      </c>
      <c r="B1125" t="s">
        <v>5655</v>
      </c>
      <c r="C1125" s="1"/>
      <c r="D1125" t="s">
        <v>5656</v>
      </c>
      <c r="E1125" s="2" t="s">
        <v>430</v>
      </c>
      <c r="F1125" s="137" t="s">
        <v>5657</v>
      </c>
      <c r="G1125" s="137" t="s">
        <v>5658</v>
      </c>
      <c r="H1125" s="137" t="s">
        <v>5659</v>
      </c>
      <c r="I1125" s="113" t="s">
        <v>292</v>
      </c>
      <c r="J1125" s="108" t="str">
        <f t="shared" si="17"/>
        <v>122902</v>
      </c>
    </row>
    <row r="1126" spans="1:10" ht="15" customHeight="1" x14ac:dyDescent="0.25">
      <c r="A1126" t="str">
        <f>Table1[[#This Row],[District name]]&amp;" "&amp;Table1[[#This Row],[District number]]</f>
        <v>VALERE PUBLIC SCHOOLS 227824</v>
      </c>
      <c r="B1126" t="s">
        <v>5660</v>
      </c>
      <c r="C1126" s="1"/>
      <c r="D1126" t="s">
        <v>5661</v>
      </c>
      <c r="E1126" s="2" t="s">
        <v>598</v>
      </c>
      <c r="F1126" s="137" t="s">
        <v>5662</v>
      </c>
      <c r="G1126" s="137" t="s">
        <v>5663</v>
      </c>
      <c r="H1126" s="137" t="s">
        <v>5664</v>
      </c>
      <c r="I1126" s="113" t="s">
        <v>292</v>
      </c>
      <c r="J1126" s="108" t="str">
        <f t="shared" si="17"/>
        <v>227824</v>
      </c>
    </row>
    <row r="1127" spans="1:10" ht="15" customHeight="1" x14ac:dyDescent="0.25">
      <c r="A1127" t="str">
        <f>Table1[[#This Row],[District name]]&amp;" "&amp;Table1[[#This Row],[District number]]</f>
        <v>VALLEY MILLS ISD 018904</v>
      </c>
      <c r="B1127" t="s">
        <v>5665</v>
      </c>
      <c r="C1127" s="1"/>
      <c r="D1127" t="s">
        <v>5666</v>
      </c>
      <c r="E1127" s="2" t="s">
        <v>301</v>
      </c>
      <c r="F1127" s="137" t="s">
        <v>5667</v>
      </c>
      <c r="G1127" s="137" t="s">
        <v>5668</v>
      </c>
      <c r="H1127" s="137" t="s">
        <v>5669</v>
      </c>
      <c r="I1127" s="113" t="s">
        <v>292</v>
      </c>
      <c r="J1127" s="108" t="str">
        <f t="shared" si="17"/>
        <v>018904</v>
      </c>
    </row>
    <row r="1128" spans="1:10" ht="15" customHeight="1" x14ac:dyDescent="0.25">
      <c r="A1128" t="str">
        <f>Table1[[#This Row],[District name]]&amp;" "&amp;Table1[[#This Row],[District number]]</f>
        <v>VALLEY VIEW ISD 049903</v>
      </c>
      <c r="B1128" t="s">
        <v>5670</v>
      </c>
      <c r="C1128" s="1"/>
      <c r="D1128" t="s">
        <v>5671</v>
      </c>
      <c r="E1128" s="2" t="s">
        <v>402</v>
      </c>
      <c r="F1128" s="137" t="s">
        <v>5672</v>
      </c>
      <c r="G1128" s="137" t="s">
        <v>5673</v>
      </c>
      <c r="H1128" s="137" t="s">
        <v>5674</v>
      </c>
      <c r="I1128" s="113" t="s">
        <v>292</v>
      </c>
      <c r="J1128" s="108" t="str">
        <f t="shared" si="17"/>
        <v>049903</v>
      </c>
    </row>
    <row r="1129" spans="1:10" ht="15" customHeight="1" x14ac:dyDescent="0.25">
      <c r="A1129" t="str">
        <f>Table1[[#This Row],[District name]]&amp;" "&amp;Table1[[#This Row],[District number]]</f>
        <v>VALLEY VIEW ISD 108916</v>
      </c>
      <c r="B1129" t="s">
        <v>5675</v>
      </c>
      <c r="C1129" s="1"/>
      <c r="D1129" t="s">
        <v>5671</v>
      </c>
      <c r="E1129" s="2" t="s">
        <v>982</v>
      </c>
      <c r="F1129" s="137" t="s">
        <v>5676</v>
      </c>
      <c r="G1129" s="137" t="s">
        <v>5677</v>
      </c>
      <c r="H1129" s="137" t="s">
        <v>5678</v>
      </c>
      <c r="I1129" s="113" t="s">
        <v>292</v>
      </c>
      <c r="J1129" s="108" t="str">
        <f t="shared" si="17"/>
        <v>108916</v>
      </c>
    </row>
    <row r="1130" spans="1:10" ht="15" customHeight="1" x14ac:dyDescent="0.25">
      <c r="A1130" t="str">
        <f>Table1[[#This Row],[District name]]&amp;" "&amp;Table1[[#This Row],[District number]]</f>
        <v>VALOR PUBLIC SCHOOLS 227829</v>
      </c>
      <c r="B1130" t="s">
        <v>5679</v>
      </c>
      <c r="C1130" s="1"/>
      <c r="D1130" t="s">
        <v>5680</v>
      </c>
      <c r="E1130" s="2" t="s">
        <v>598</v>
      </c>
      <c r="F1130" s="137" t="s">
        <v>5681</v>
      </c>
      <c r="G1130" s="137" t="s">
        <v>5682</v>
      </c>
      <c r="H1130" s="137" t="s">
        <v>5683</v>
      </c>
      <c r="I1130" s="113" t="s">
        <v>292</v>
      </c>
      <c r="J1130" s="108" t="str">
        <f t="shared" si="17"/>
        <v>227829</v>
      </c>
    </row>
    <row r="1131" spans="1:10" ht="15" customHeight="1" x14ac:dyDescent="0.25">
      <c r="A1131" t="str">
        <f>Table1[[#This Row],[District name]]&amp;" "&amp;Table1[[#This Row],[District number]]</f>
        <v>VAN ALSTYNE ISD 091908</v>
      </c>
      <c r="B1131" t="s">
        <v>5684</v>
      </c>
      <c r="C1131" s="1"/>
      <c r="D1131" t="s">
        <v>5685</v>
      </c>
      <c r="E1131" s="2" t="s">
        <v>288</v>
      </c>
      <c r="F1131" s="137" t="s">
        <v>5686</v>
      </c>
      <c r="G1131" s="137" t="s">
        <v>5687</v>
      </c>
      <c r="H1131" s="137" t="s">
        <v>5688</v>
      </c>
      <c r="I1131" s="113" t="s">
        <v>292</v>
      </c>
      <c r="J1131" s="108" t="str">
        <f t="shared" si="17"/>
        <v>091908</v>
      </c>
    </row>
    <row r="1132" spans="1:10" ht="15" customHeight="1" x14ac:dyDescent="0.25">
      <c r="A1132" t="str">
        <f>Table1[[#This Row],[District name]]&amp;" "&amp;Table1[[#This Row],[District number]]</f>
        <v>VAN ISD 234906</v>
      </c>
      <c r="B1132" t="s">
        <v>5689</v>
      </c>
      <c r="C1132" s="1"/>
      <c r="D1132" t="s">
        <v>5690</v>
      </c>
      <c r="E1132" s="2" t="s">
        <v>383</v>
      </c>
      <c r="F1132" s="137" t="s">
        <v>5691</v>
      </c>
      <c r="G1132" s="137" t="s">
        <v>5692</v>
      </c>
      <c r="H1132" s="137" t="s">
        <v>5693</v>
      </c>
      <c r="I1132" s="113" t="s">
        <v>292</v>
      </c>
      <c r="J1132" s="108" t="str">
        <f t="shared" si="17"/>
        <v>234906</v>
      </c>
    </row>
    <row r="1133" spans="1:10" ht="15" customHeight="1" x14ac:dyDescent="0.25">
      <c r="A1133" t="str">
        <f>Table1[[#This Row],[District name]]&amp;" "&amp;Table1[[#This Row],[District number]]</f>
        <v>VAN VLECK ISD 158906</v>
      </c>
      <c r="B1133" t="s">
        <v>5694</v>
      </c>
      <c r="C1133" s="1"/>
      <c r="D1133" t="s">
        <v>5695</v>
      </c>
      <c r="E1133" s="2" t="s">
        <v>614</v>
      </c>
      <c r="F1133" s="137" t="s">
        <v>5010</v>
      </c>
      <c r="G1133" s="137" t="s">
        <v>5696</v>
      </c>
      <c r="H1133" s="137" t="s">
        <v>5697</v>
      </c>
      <c r="I1133" s="113" t="s">
        <v>292</v>
      </c>
      <c r="J1133" s="108" t="str">
        <f t="shared" si="17"/>
        <v>158906</v>
      </c>
    </row>
    <row r="1134" spans="1:10" ht="15" customHeight="1" x14ac:dyDescent="0.25">
      <c r="A1134" t="str">
        <f>Table1[[#This Row],[District name]]&amp;" "&amp;Table1[[#This Row],[District number]]</f>
        <v>VANGUARD ACADEMY 108808</v>
      </c>
      <c r="B1134" t="s">
        <v>5698</v>
      </c>
      <c r="C1134" s="3"/>
      <c r="D1134" t="s">
        <v>5699</v>
      </c>
      <c r="E1134" s="4" t="s">
        <v>982</v>
      </c>
      <c r="F1134" s="137" t="s">
        <v>5700</v>
      </c>
      <c r="G1134" s="137" t="s">
        <v>5701</v>
      </c>
      <c r="H1134" s="137" t="s">
        <v>5702</v>
      </c>
      <c r="I1134" s="113" t="s">
        <v>292</v>
      </c>
      <c r="J1134" s="108" t="str">
        <f t="shared" si="17"/>
        <v>108808</v>
      </c>
    </row>
    <row r="1135" spans="1:10" ht="15" customHeight="1" x14ac:dyDescent="0.25">
      <c r="A1135" t="str">
        <f>Table1[[#This Row],[District name]]&amp;" "&amp;Table1[[#This Row],[District number]]</f>
        <v>VEGA ISD 180902</v>
      </c>
      <c r="B1135" t="s">
        <v>5703</v>
      </c>
      <c r="C1135" s="1"/>
      <c r="D1135" t="s">
        <v>5704</v>
      </c>
      <c r="E1135" s="2" t="s">
        <v>356</v>
      </c>
      <c r="F1135" s="137" t="s">
        <v>1384</v>
      </c>
      <c r="G1135" s="137" t="s">
        <v>5705</v>
      </c>
      <c r="H1135" s="137" t="s">
        <v>5706</v>
      </c>
      <c r="I1135" s="113" t="s">
        <v>292</v>
      </c>
      <c r="J1135" s="108" t="str">
        <f t="shared" si="17"/>
        <v>180902</v>
      </c>
    </row>
    <row r="1136" spans="1:10" ht="15" customHeight="1" x14ac:dyDescent="0.25">
      <c r="A1136" t="str">
        <f>Table1[[#This Row],[District name]]&amp;" "&amp;Table1[[#This Row],[District number]]</f>
        <v>VENUS ISD 126908</v>
      </c>
      <c r="B1136" t="s">
        <v>5707</v>
      </c>
      <c r="C1136" s="1"/>
      <c r="D1136" t="s">
        <v>5708</v>
      </c>
      <c r="E1136" s="2" t="s">
        <v>402</v>
      </c>
      <c r="F1136" s="137" t="s">
        <v>5709</v>
      </c>
      <c r="G1136" s="137" t="s">
        <v>5710</v>
      </c>
      <c r="H1136" s="137" t="s">
        <v>5711</v>
      </c>
      <c r="I1136" s="113" t="s">
        <v>292</v>
      </c>
      <c r="J1136" s="108" t="str">
        <f t="shared" si="17"/>
        <v>126908</v>
      </c>
    </row>
    <row r="1137" spans="1:10" ht="15" customHeight="1" x14ac:dyDescent="0.25">
      <c r="A1137" t="str">
        <f>Table1[[#This Row],[District name]]&amp;" "&amp;Table1[[#This Row],[District number]]</f>
        <v>VERIBEST ISD 226908</v>
      </c>
      <c r="B1137" t="s">
        <v>5712</v>
      </c>
      <c r="C1137" s="1"/>
      <c r="D1137" t="s">
        <v>5713</v>
      </c>
      <c r="E1137" s="2" t="s">
        <v>650</v>
      </c>
      <c r="F1137" s="137" t="s">
        <v>5714</v>
      </c>
      <c r="G1137" s="137" t="s">
        <v>5715</v>
      </c>
      <c r="H1137" s="137" t="s">
        <v>5716</v>
      </c>
      <c r="I1137" s="113" t="s">
        <v>292</v>
      </c>
      <c r="J1137" s="108" t="str">
        <f t="shared" si="17"/>
        <v>226908</v>
      </c>
    </row>
    <row r="1138" spans="1:10" ht="15" customHeight="1" x14ac:dyDescent="0.25">
      <c r="A1138" t="str">
        <f>Table1[[#This Row],[District name]]&amp;" "&amp;Table1[[#This Row],[District number]]</f>
        <v>VERNON ISD 244903</v>
      </c>
      <c r="B1138" t="s">
        <v>5717</v>
      </c>
      <c r="C1138" s="1"/>
      <c r="D1138" t="s">
        <v>5718</v>
      </c>
      <c r="E1138" s="2" t="s">
        <v>541</v>
      </c>
      <c r="F1138" s="137" t="s">
        <v>5719</v>
      </c>
      <c r="G1138" s="137" t="s">
        <v>5720</v>
      </c>
      <c r="H1138" s="137" t="s">
        <v>5721</v>
      </c>
      <c r="I1138" s="113" t="s">
        <v>292</v>
      </c>
      <c r="J1138" s="108" t="str">
        <f t="shared" si="17"/>
        <v>244903</v>
      </c>
    </row>
    <row r="1139" spans="1:10" ht="15" customHeight="1" x14ac:dyDescent="0.25">
      <c r="A1139" t="str">
        <f>Table1[[#This Row],[District name]]&amp;" "&amp;Table1[[#This Row],[District number]]</f>
        <v>VICTORIA ISD 235902</v>
      </c>
      <c r="B1139" t="s">
        <v>5722</v>
      </c>
      <c r="C1139" s="1"/>
      <c r="D1139" t="s">
        <v>5723</v>
      </c>
      <c r="E1139" s="2" t="s">
        <v>614</v>
      </c>
      <c r="F1139" s="137" t="s">
        <v>5724</v>
      </c>
      <c r="G1139" s="137" t="s">
        <v>5725</v>
      </c>
      <c r="H1139" s="137" t="s">
        <v>5726</v>
      </c>
      <c r="I1139" s="113" t="s">
        <v>292</v>
      </c>
      <c r="J1139" s="108" t="str">
        <f t="shared" si="17"/>
        <v>235902</v>
      </c>
    </row>
    <row r="1140" spans="1:10" ht="15" customHeight="1" x14ac:dyDescent="0.25">
      <c r="A1140" t="str">
        <f>Table1[[#This Row],[District name]]&amp;" "&amp;Table1[[#This Row],[District number]]</f>
        <v>VIDOR ISD 181907</v>
      </c>
      <c r="B1140" t="s">
        <v>5727</v>
      </c>
      <c r="C1140" s="1"/>
      <c r="D1140" t="s">
        <v>5728</v>
      </c>
      <c r="E1140" s="2" t="s">
        <v>706</v>
      </c>
      <c r="F1140" s="137" t="s">
        <v>5729</v>
      </c>
      <c r="G1140" s="137" t="s">
        <v>5730</v>
      </c>
      <c r="H1140" s="137" t="s">
        <v>5731</v>
      </c>
      <c r="I1140" s="113" t="s">
        <v>292</v>
      </c>
      <c r="J1140" s="108" t="str">
        <f t="shared" si="17"/>
        <v>181907</v>
      </c>
    </row>
    <row r="1141" spans="1:10" ht="15" customHeight="1" x14ac:dyDescent="0.25">
      <c r="A1141" t="str">
        <f>Table1[[#This Row],[District name]]&amp;" "&amp;Table1[[#This Row],[District number]]</f>
        <v>VILLAGE TECH SCHOOLS 057847</v>
      </c>
      <c r="B1141" t="s">
        <v>5732</v>
      </c>
      <c r="C1141" s="1"/>
      <c r="D1141" t="s">
        <v>5733</v>
      </c>
      <c r="E1141" s="2" t="s">
        <v>288</v>
      </c>
      <c r="F1141" s="137" t="s">
        <v>5734</v>
      </c>
      <c r="G1141" s="137" t="s">
        <v>5735</v>
      </c>
      <c r="H1141" s="137" t="s">
        <v>5736</v>
      </c>
      <c r="I1141" s="113" t="s">
        <v>292</v>
      </c>
      <c r="J1141" s="108" t="str">
        <f t="shared" si="17"/>
        <v>057847</v>
      </c>
    </row>
    <row r="1142" spans="1:10" ht="15" customHeight="1" x14ac:dyDescent="0.25">
      <c r="A1142" t="str">
        <f>Table1[[#This Row],[District name]]&amp;" "&amp;Table1[[#This Row],[District number]]</f>
        <v>VISTA DEL FUTURO CHARTER SCHOOL 071809</v>
      </c>
      <c r="B1142" t="s">
        <v>5737</v>
      </c>
      <c r="C1142" s="1"/>
      <c r="D1142" t="s">
        <v>5738</v>
      </c>
      <c r="E1142" s="2" t="s">
        <v>507</v>
      </c>
      <c r="F1142" s="137" t="s">
        <v>2610</v>
      </c>
      <c r="G1142" s="137" t="s">
        <v>2611</v>
      </c>
      <c r="H1142" s="137" t="s">
        <v>2612</v>
      </c>
      <c r="I1142" s="113" t="s">
        <v>292</v>
      </c>
      <c r="J1142" s="108" t="str">
        <f t="shared" si="17"/>
        <v>071809</v>
      </c>
    </row>
    <row r="1143" spans="1:10" ht="15" customHeight="1" x14ac:dyDescent="0.25">
      <c r="A1143" t="str">
        <f>Table1[[#This Row],[District name]]&amp;" "&amp;Table1[[#This Row],[District number]]</f>
        <v>VYSEHRAD ISD 143904</v>
      </c>
      <c r="B1143" t="s">
        <v>5739</v>
      </c>
      <c r="C1143" s="1"/>
      <c r="D1143" t="s">
        <v>5740</v>
      </c>
      <c r="E1143" s="2" t="s">
        <v>614</v>
      </c>
      <c r="F1143" s="137" t="s">
        <v>5741</v>
      </c>
      <c r="G1143" s="137" t="s">
        <v>5742</v>
      </c>
      <c r="H1143" s="137" t="s">
        <v>5743</v>
      </c>
      <c r="I1143" s="113" t="s">
        <v>292</v>
      </c>
      <c r="J1143" s="108" t="str">
        <f t="shared" si="17"/>
        <v>143904</v>
      </c>
    </row>
    <row r="1144" spans="1:10" ht="15" customHeight="1" x14ac:dyDescent="0.25">
      <c r="A1144" t="str">
        <f>Table1[[#This Row],[District name]]&amp;" "&amp;Table1[[#This Row],[District number]]</f>
        <v>WACO CHARTER SCHOOL 161801</v>
      </c>
      <c r="B1144" t="s">
        <v>5744</v>
      </c>
      <c r="C1144" s="1"/>
      <c r="D1144" t="s">
        <v>5745</v>
      </c>
      <c r="E1144" s="2" t="s">
        <v>2042</v>
      </c>
      <c r="F1144" s="137" t="s">
        <v>2042</v>
      </c>
      <c r="G1144" s="137" t="s">
        <v>2042</v>
      </c>
      <c r="H1144" s="137" t="s">
        <v>2042</v>
      </c>
      <c r="I1144" s="113" t="s">
        <v>292</v>
      </c>
      <c r="J1144" s="108" t="str">
        <f t="shared" si="17"/>
        <v>161801</v>
      </c>
    </row>
    <row r="1145" spans="1:10" ht="15" customHeight="1" x14ac:dyDescent="0.25">
      <c r="A1145" t="str">
        <f>Table1[[#This Row],[District name]]&amp;" "&amp;Table1[[#This Row],[District number]]</f>
        <v>WACO ISD 161914</v>
      </c>
      <c r="B1145" t="s">
        <v>5746</v>
      </c>
      <c r="C1145" s="1"/>
      <c r="D1145" t="s">
        <v>5747</v>
      </c>
      <c r="E1145" s="2" t="s">
        <v>301</v>
      </c>
      <c r="F1145" s="137" t="s">
        <v>671</v>
      </c>
      <c r="G1145" s="137" t="s">
        <v>672</v>
      </c>
      <c r="H1145" s="137" t="s">
        <v>673</v>
      </c>
      <c r="I1145" s="113" t="s">
        <v>292</v>
      </c>
      <c r="J1145" s="108" t="str">
        <f t="shared" si="17"/>
        <v>161914</v>
      </c>
    </row>
    <row r="1146" spans="1:10" ht="15" customHeight="1" x14ac:dyDescent="0.25">
      <c r="A1146" t="str">
        <f>Table1[[#This Row],[District name]]&amp;" "&amp;Table1[[#This Row],[District number]]</f>
        <v>WAELDER ISD 089905</v>
      </c>
      <c r="B1146" t="s">
        <v>5748</v>
      </c>
      <c r="C1146" s="1"/>
      <c r="D1146" t="s">
        <v>5749</v>
      </c>
      <c r="E1146" s="2" t="s">
        <v>598</v>
      </c>
      <c r="F1146" s="137" t="s">
        <v>5750</v>
      </c>
      <c r="G1146" s="137" t="s">
        <v>5751</v>
      </c>
      <c r="H1146" s="137" t="s">
        <v>5752</v>
      </c>
      <c r="I1146" s="113" t="s">
        <v>292</v>
      </c>
      <c r="J1146" s="108" t="str">
        <f t="shared" si="17"/>
        <v>089905</v>
      </c>
    </row>
    <row r="1147" spans="1:10" ht="15" customHeight="1" x14ac:dyDescent="0.25">
      <c r="A1147" t="str">
        <f>Table1[[#This Row],[District name]]&amp;" "&amp;Table1[[#This Row],[District number]]</f>
        <v>WALCOTT ISD 059902</v>
      </c>
      <c r="B1147" t="s">
        <v>5753</v>
      </c>
      <c r="C1147" s="1"/>
      <c r="D1147" t="s">
        <v>5754</v>
      </c>
      <c r="E1147" s="2" t="s">
        <v>356</v>
      </c>
      <c r="F1147" s="137" t="s">
        <v>5755</v>
      </c>
      <c r="G1147" s="137" t="s">
        <v>5756</v>
      </c>
      <c r="H1147" s="137" t="s">
        <v>5757</v>
      </c>
      <c r="I1147" s="113" t="s">
        <v>292</v>
      </c>
      <c r="J1147" s="108" t="str">
        <f t="shared" si="17"/>
        <v>059902</v>
      </c>
    </row>
    <row r="1148" spans="1:10" ht="15" customHeight="1" x14ac:dyDescent="0.25">
      <c r="A1148" t="str">
        <f>Table1[[#This Row],[District name]]&amp;" "&amp;Table1[[#This Row],[District number]]</f>
        <v>WALL ISD 226906</v>
      </c>
      <c r="B1148" t="s">
        <v>5758</v>
      </c>
      <c r="C1148" s="1"/>
      <c r="D1148" t="s">
        <v>5759</v>
      </c>
      <c r="E1148" s="2" t="s">
        <v>650</v>
      </c>
      <c r="F1148" s="137" t="s">
        <v>5760</v>
      </c>
      <c r="G1148" s="137" t="s">
        <v>5761</v>
      </c>
      <c r="H1148" s="137" t="s">
        <v>5762</v>
      </c>
      <c r="I1148" s="113" t="s">
        <v>292</v>
      </c>
      <c r="J1148" s="108" t="str">
        <f t="shared" si="17"/>
        <v>226906</v>
      </c>
    </row>
    <row r="1149" spans="1:10" ht="15" customHeight="1" x14ac:dyDescent="0.25">
      <c r="A1149" t="str">
        <f>Table1[[#This Row],[District name]]&amp;" "&amp;Table1[[#This Row],[District number]]</f>
        <v>WALLER ISD 237904</v>
      </c>
      <c r="B1149" t="s">
        <v>5763</v>
      </c>
      <c r="C1149" s="1"/>
      <c r="D1149" t="s">
        <v>5764</v>
      </c>
      <c r="E1149" s="2" t="s">
        <v>295</v>
      </c>
      <c r="F1149" s="137" t="s">
        <v>5765</v>
      </c>
      <c r="G1149" s="137" t="s">
        <v>5766</v>
      </c>
      <c r="H1149" s="137" t="s">
        <v>5767</v>
      </c>
      <c r="I1149" s="113" t="s">
        <v>292</v>
      </c>
      <c r="J1149" s="108" t="str">
        <f t="shared" si="17"/>
        <v>237904</v>
      </c>
    </row>
    <row r="1150" spans="1:10" ht="15" customHeight="1" x14ac:dyDescent="0.25">
      <c r="A1150" t="str">
        <f>Table1[[#This Row],[District name]]&amp;" "&amp;Table1[[#This Row],[District number]]</f>
        <v>WALNUT BEND ISD 049908</v>
      </c>
      <c r="B1150" t="s">
        <v>5768</v>
      </c>
      <c r="C1150" s="1"/>
      <c r="D1150" t="s">
        <v>5769</v>
      </c>
      <c r="E1150" s="2" t="s">
        <v>402</v>
      </c>
      <c r="F1150" s="137" t="s">
        <v>5770</v>
      </c>
      <c r="G1150" s="137" t="s">
        <v>5771</v>
      </c>
      <c r="H1150" s="137" t="s">
        <v>5772</v>
      </c>
      <c r="I1150" s="113" t="s">
        <v>292</v>
      </c>
      <c r="J1150" s="108" t="str">
        <f t="shared" si="17"/>
        <v>049908</v>
      </c>
    </row>
    <row r="1151" spans="1:10" ht="15" customHeight="1" x14ac:dyDescent="0.25">
      <c r="A1151" t="str">
        <f>Table1[[#This Row],[District name]]&amp;" "&amp;Table1[[#This Row],[District number]]</f>
        <v>WALNUT SPRINGS ISD 018905</v>
      </c>
      <c r="B1151" t="s">
        <v>5773</v>
      </c>
      <c r="C1151" s="1"/>
      <c r="D1151" t="s">
        <v>5774</v>
      </c>
      <c r="E1151" s="2" t="s">
        <v>301</v>
      </c>
      <c r="F1151" s="137" t="s">
        <v>5775</v>
      </c>
      <c r="G1151" s="137" t="s">
        <v>5776</v>
      </c>
      <c r="H1151" s="137" t="s">
        <v>5777</v>
      </c>
      <c r="I1151" s="113" t="s">
        <v>292</v>
      </c>
      <c r="J1151" s="108" t="str">
        <f t="shared" si="17"/>
        <v>018905</v>
      </c>
    </row>
    <row r="1152" spans="1:10" ht="15" customHeight="1" x14ac:dyDescent="0.25">
      <c r="A1152" t="str">
        <f>Table1[[#This Row],[District name]]&amp;" "&amp;Table1[[#This Row],[District number]]</f>
        <v>WARREN ISD 229904</v>
      </c>
      <c r="B1152" t="s">
        <v>5778</v>
      </c>
      <c r="C1152" s="1"/>
      <c r="D1152" t="s">
        <v>5779</v>
      </c>
      <c r="E1152" s="2" t="s">
        <v>706</v>
      </c>
      <c r="F1152" s="137" t="s">
        <v>5780</v>
      </c>
      <c r="G1152" s="137" t="s">
        <v>5781</v>
      </c>
      <c r="H1152" s="137" t="s">
        <v>5782</v>
      </c>
      <c r="I1152" s="113" t="s">
        <v>292</v>
      </c>
      <c r="J1152" s="108" t="str">
        <f t="shared" si="17"/>
        <v>229904</v>
      </c>
    </row>
    <row r="1153" spans="1:10" ht="15" customHeight="1" x14ac:dyDescent="0.25">
      <c r="A1153" t="str">
        <f>Table1[[#This Row],[District name]]&amp;" "&amp;Table1[[#This Row],[District number]]</f>
        <v>WASKOM ISD 102903</v>
      </c>
      <c r="B1153" t="s">
        <v>5783</v>
      </c>
      <c r="C1153" s="1"/>
      <c r="D1153" t="s">
        <v>5784</v>
      </c>
      <c r="E1153" s="2" t="s">
        <v>383</v>
      </c>
      <c r="F1153" s="137" t="s">
        <v>2059</v>
      </c>
      <c r="G1153" s="137" t="s">
        <v>5785</v>
      </c>
      <c r="H1153" s="137" t="s">
        <v>5786</v>
      </c>
      <c r="I1153" s="113" t="s">
        <v>292</v>
      </c>
      <c r="J1153" s="108" t="str">
        <f t="shared" si="17"/>
        <v>102903</v>
      </c>
    </row>
    <row r="1154" spans="1:10" ht="15" customHeight="1" x14ac:dyDescent="0.25">
      <c r="A1154" t="str">
        <f>Table1[[#This Row],[District name]]&amp;" "&amp;Table1[[#This Row],[District number]]</f>
        <v>WATER VALLEY ISD 226905</v>
      </c>
      <c r="B1154" t="s">
        <v>5787</v>
      </c>
      <c r="C1154" s="1"/>
      <c r="D1154" t="s">
        <v>5788</v>
      </c>
      <c r="E1154" s="2" t="s">
        <v>650</v>
      </c>
      <c r="F1154" s="137" t="s">
        <v>5789</v>
      </c>
      <c r="G1154" s="137" t="s">
        <v>5790</v>
      </c>
      <c r="H1154" s="137" t="s">
        <v>5791</v>
      </c>
      <c r="I1154" s="113" t="s">
        <v>292</v>
      </c>
      <c r="J1154" s="108" t="str">
        <f t="shared" si="17"/>
        <v>226905</v>
      </c>
    </row>
    <row r="1155" spans="1:10" ht="15" customHeight="1" x14ac:dyDescent="0.25">
      <c r="A1155" t="str">
        <f>Table1[[#This Row],[District name]]&amp;" "&amp;Table1[[#This Row],[District number]]</f>
        <v>WAXAHACHIE FAITH FAMILY ACADEMY 070801</v>
      </c>
      <c r="B1155" t="s">
        <v>5792</v>
      </c>
      <c r="C1155" s="1"/>
      <c r="D1155" t="s">
        <v>5793</v>
      </c>
      <c r="E1155" s="2" t="s">
        <v>288</v>
      </c>
      <c r="F1155" s="137" t="s">
        <v>5794</v>
      </c>
      <c r="G1155" s="137" t="s">
        <v>5795</v>
      </c>
      <c r="H1155" s="137" t="s">
        <v>5796</v>
      </c>
      <c r="I1155" s="113" t="s">
        <v>292</v>
      </c>
      <c r="J1155" s="108" t="str">
        <f t="shared" si="17"/>
        <v>070801</v>
      </c>
    </row>
    <row r="1156" spans="1:10" ht="15" customHeight="1" x14ac:dyDescent="0.25">
      <c r="A1156" t="str">
        <f>Table1[[#This Row],[District name]]&amp;" "&amp;Table1[[#This Row],[District number]]</f>
        <v>WAXAHACHIE ISD 070912</v>
      </c>
      <c r="B1156" t="s">
        <v>5797</v>
      </c>
      <c r="C1156" s="1"/>
      <c r="D1156" t="s">
        <v>5798</v>
      </c>
      <c r="E1156" s="2" t="s">
        <v>288</v>
      </c>
      <c r="F1156" s="137" t="s">
        <v>5799</v>
      </c>
      <c r="G1156" s="137" t="s">
        <v>5800</v>
      </c>
      <c r="H1156" s="137" t="s">
        <v>5801</v>
      </c>
      <c r="I1156" s="113" t="s">
        <v>292</v>
      </c>
      <c r="J1156" s="108" t="str">
        <f t="shared" si="17"/>
        <v>070912</v>
      </c>
    </row>
    <row r="1157" spans="1:10" ht="15" customHeight="1" x14ac:dyDescent="0.25">
      <c r="A1157" t="str">
        <f>Table1[[#This Row],[District name]]&amp;" "&amp;Table1[[#This Row],[District number]]</f>
        <v>WAYSIDE SCHOOLS 227803</v>
      </c>
      <c r="B1157" t="s">
        <v>5802</v>
      </c>
      <c r="C1157" s="1"/>
      <c r="D1157" t="s">
        <v>5803</v>
      </c>
      <c r="E1157" s="2" t="s">
        <v>598</v>
      </c>
      <c r="F1157" s="137" t="s">
        <v>5804</v>
      </c>
      <c r="G1157" s="137" t="s">
        <v>5805</v>
      </c>
      <c r="H1157" s="137" t="s">
        <v>5806</v>
      </c>
      <c r="I1157" s="113" t="s">
        <v>292</v>
      </c>
      <c r="J1157" s="108" t="str">
        <f t="shared" si="17"/>
        <v>227803</v>
      </c>
    </row>
    <row r="1158" spans="1:10" ht="15" customHeight="1" x14ac:dyDescent="0.25">
      <c r="A1158" t="str">
        <f>Table1[[#This Row],[District name]]&amp;" "&amp;Table1[[#This Row],[District number]]</f>
        <v>WEATHERFORD ISD 184903</v>
      </c>
      <c r="B1158" t="s">
        <v>5807</v>
      </c>
      <c r="C1158" s="1"/>
      <c r="D1158" t="s">
        <v>5808</v>
      </c>
      <c r="E1158" s="2" t="s">
        <v>402</v>
      </c>
      <c r="F1158" s="137" t="s">
        <v>5809</v>
      </c>
      <c r="G1158" s="137" t="s">
        <v>5810</v>
      </c>
      <c r="H1158" s="137" t="s">
        <v>5811</v>
      </c>
      <c r="I1158" s="113" t="s">
        <v>292</v>
      </c>
      <c r="J1158" s="108" t="str">
        <f t="shared" si="17"/>
        <v>184903</v>
      </c>
    </row>
    <row r="1159" spans="1:10" ht="15" customHeight="1" x14ac:dyDescent="0.25">
      <c r="A1159" t="str">
        <f>Table1[[#This Row],[District name]]&amp;" "&amp;Table1[[#This Row],[District number]]</f>
        <v>WEBB CISD 240904</v>
      </c>
      <c r="B1159" t="s">
        <v>5812</v>
      </c>
      <c r="C1159" s="1"/>
      <c r="D1159" t="s">
        <v>5813</v>
      </c>
      <c r="E1159" s="2" t="s">
        <v>982</v>
      </c>
      <c r="F1159" s="137" t="s">
        <v>5814</v>
      </c>
      <c r="G1159" s="137" t="s">
        <v>5815</v>
      </c>
      <c r="H1159" s="137" t="s">
        <v>5816</v>
      </c>
      <c r="I1159" s="113" t="s">
        <v>292</v>
      </c>
      <c r="J1159" s="108" t="str">
        <f t="shared" ref="J1159:J1215" si="18">LEFT(B1159,6)</f>
        <v>240904</v>
      </c>
    </row>
    <row r="1160" spans="1:10" ht="15" customHeight="1" x14ac:dyDescent="0.25">
      <c r="A1160" t="str">
        <f>Table1[[#This Row],[District name]]&amp;" "&amp;Table1[[#This Row],[District number]]</f>
        <v>WEIMAR ISD 045905</v>
      </c>
      <c r="B1160" t="s">
        <v>5817</v>
      </c>
      <c r="C1160" s="1"/>
      <c r="D1160" t="s">
        <v>5818</v>
      </c>
      <c r="E1160" s="2" t="s">
        <v>614</v>
      </c>
      <c r="F1160" s="137" t="s">
        <v>772</v>
      </c>
      <c r="G1160" s="137" t="s">
        <v>773</v>
      </c>
      <c r="H1160" s="137" t="s">
        <v>774</v>
      </c>
      <c r="I1160" s="113" t="s">
        <v>292</v>
      </c>
      <c r="J1160" s="108" t="str">
        <f t="shared" si="18"/>
        <v>045905</v>
      </c>
    </row>
    <row r="1161" spans="1:10" ht="15" customHeight="1" x14ac:dyDescent="0.25">
      <c r="A1161" t="str">
        <f>Table1[[#This Row],[District name]]&amp;" "&amp;Table1[[#This Row],[District number]]</f>
        <v>WELLINGTON ISD 044902</v>
      </c>
      <c r="B1161" t="s">
        <v>5819</v>
      </c>
      <c r="C1161" s="1"/>
      <c r="D1161" t="s">
        <v>5820</v>
      </c>
      <c r="E1161" s="2" t="s">
        <v>356</v>
      </c>
      <c r="F1161" s="137" t="s">
        <v>5821</v>
      </c>
      <c r="G1161" s="137" t="s">
        <v>5822</v>
      </c>
      <c r="H1161" s="137" t="s">
        <v>5823</v>
      </c>
      <c r="I1161" s="113" t="s">
        <v>292</v>
      </c>
      <c r="J1161" s="108" t="str">
        <f t="shared" si="18"/>
        <v>044902</v>
      </c>
    </row>
    <row r="1162" spans="1:10" ht="15" customHeight="1" x14ac:dyDescent="0.25">
      <c r="A1162" t="str">
        <f>Table1[[#This Row],[District name]]&amp;" "&amp;Table1[[#This Row],[District number]]</f>
        <v>WELLMAN-UNION CISD 223904</v>
      </c>
      <c r="B1162" t="s">
        <v>5824</v>
      </c>
      <c r="C1162" s="1"/>
      <c r="D1162" t="s">
        <v>5825</v>
      </c>
      <c r="E1162" s="2" t="s">
        <v>308</v>
      </c>
      <c r="F1162" s="137" t="s">
        <v>5826</v>
      </c>
      <c r="G1162" s="137" t="s">
        <v>5827</v>
      </c>
      <c r="H1162" s="137" t="s">
        <v>5828</v>
      </c>
      <c r="I1162" s="113" t="s">
        <v>292</v>
      </c>
      <c r="J1162" s="108" t="str">
        <f t="shared" si="18"/>
        <v>223904</v>
      </c>
    </row>
    <row r="1163" spans="1:10" ht="15" customHeight="1" x14ac:dyDescent="0.25">
      <c r="A1163" t="str">
        <f>Table1[[#This Row],[District name]]&amp;" "&amp;Table1[[#This Row],[District number]]</f>
        <v>WELLS ISD 037909</v>
      </c>
      <c r="B1163" t="s">
        <v>5829</v>
      </c>
      <c r="C1163" s="1"/>
      <c r="D1163" t="s">
        <v>5830</v>
      </c>
      <c r="E1163" s="2" t="s">
        <v>383</v>
      </c>
      <c r="F1163" s="137" t="s">
        <v>816</v>
      </c>
      <c r="G1163" s="137" t="s">
        <v>1965</v>
      </c>
      <c r="H1163" s="137" t="s">
        <v>1966</v>
      </c>
      <c r="I1163" s="113" t="s">
        <v>292</v>
      </c>
      <c r="J1163" s="108" t="str">
        <f t="shared" si="18"/>
        <v>037909</v>
      </c>
    </row>
    <row r="1164" spans="1:10" ht="15" customHeight="1" x14ac:dyDescent="0.25">
      <c r="A1164" t="str">
        <f>Table1[[#This Row],[District name]]&amp;" "&amp;Table1[[#This Row],[District number]]</f>
        <v>WESLACO ISD 108913</v>
      </c>
      <c r="B1164" t="s">
        <v>5831</v>
      </c>
      <c r="C1164" s="1"/>
      <c r="D1164" t="s">
        <v>5832</v>
      </c>
      <c r="E1164" s="2" t="s">
        <v>982</v>
      </c>
      <c r="F1164" s="137" t="s">
        <v>5833</v>
      </c>
      <c r="G1164" s="137" t="s">
        <v>5834</v>
      </c>
      <c r="H1164" s="137" t="s">
        <v>5835</v>
      </c>
      <c r="I1164" s="113" t="s">
        <v>292</v>
      </c>
      <c r="J1164" s="108" t="str">
        <f t="shared" si="18"/>
        <v>108913</v>
      </c>
    </row>
    <row r="1165" spans="1:10" ht="15" customHeight="1" x14ac:dyDescent="0.25">
      <c r="A1165" t="str">
        <f>Table1[[#This Row],[District name]]&amp;" "&amp;Table1[[#This Row],[District number]]</f>
        <v>WEST HARDIN COUNTY CISD 100908</v>
      </c>
      <c r="B1165" t="s">
        <v>5836</v>
      </c>
      <c r="C1165" s="1"/>
      <c r="D1165" t="s">
        <v>5837</v>
      </c>
      <c r="E1165" s="2" t="s">
        <v>706</v>
      </c>
      <c r="F1165" s="137" t="s">
        <v>4341</v>
      </c>
      <c r="G1165" s="137" t="s">
        <v>5838</v>
      </c>
      <c r="H1165" s="137" t="s">
        <v>5839</v>
      </c>
      <c r="I1165" s="113" t="s">
        <v>292</v>
      </c>
      <c r="J1165" s="108" t="str">
        <f t="shared" si="18"/>
        <v>100908</v>
      </c>
    </row>
    <row r="1166" spans="1:10" ht="15" customHeight="1" x14ac:dyDescent="0.25">
      <c r="A1166" t="str">
        <f>Table1[[#This Row],[District name]]&amp;" "&amp;Table1[[#This Row],[District number]]</f>
        <v>WEST ISD 161916</v>
      </c>
      <c r="B1166" t="s">
        <v>5840</v>
      </c>
      <c r="C1166" s="1"/>
      <c r="D1166" t="s">
        <v>5841</v>
      </c>
      <c r="E1166" s="2" t="s">
        <v>301</v>
      </c>
      <c r="F1166" s="137" t="s">
        <v>1579</v>
      </c>
      <c r="G1166" s="137" t="s">
        <v>5842</v>
      </c>
      <c r="H1166" s="137" t="s">
        <v>5843</v>
      </c>
      <c r="I1166" s="113" t="s">
        <v>292</v>
      </c>
      <c r="J1166" s="108" t="str">
        <f t="shared" si="18"/>
        <v>161916</v>
      </c>
    </row>
    <row r="1167" spans="1:10" ht="15" customHeight="1" x14ac:dyDescent="0.25">
      <c r="A1167" t="str">
        <f>Table1[[#This Row],[District name]]&amp;" "&amp;Table1[[#This Row],[District number]]</f>
        <v>WEST ORANGE-COVE CISD 181906</v>
      </c>
      <c r="B1167" t="s">
        <v>5844</v>
      </c>
      <c r="C1167" s="1"/>
      <c r="D1167" t="s">
        <v>5845</v>
      </c>
      <c r="E1167" s="2" t="s">
        <v>706</v>
      </c>
      <c r="F1167" s="137" t="s">
        <v>5846</v>
      </c>
      <c r="G1167" s="137" t="s">
        <v>5847</v>
      </c>
      <c r="H1167" s="137" t="s">
        <v>5848</v>
      </c>
      <c r="I1167" s="113" t="s">
        <v>292</v>
      </c>
      <c r="J1167" s="108" t="str">
        <f t="shared" si="18"/>
        <v>181906</v>
      </c>
    </row>
    <row r="1168" spans="1:10" ht="15" customHeight="1" x14ac:dyDescent="0.25">
      <c r="A1168" t="str">
        <f>Table1[[#This Row],[District name]]&amp;" "&amp;Table1[[#This Row],[District number]]</f>
        <v>WEST OSO ISD 178915</v>
      </c>
      <c r="B1168" t="s">
        <v>5849</v>
      </c>
      <c r="C1168" s="1"/>
      <c r="D1168" t="s">
        <v>5850</v>
      </c>
      <c r="E1168" s="2" t="s">
        <v>369</v>
      </c>
      <c r="F1168" s="137" t="s">
        <v>5851</v>
      </c>
      <c r="G1168" s="137" t="s">
        <v>5852</v>
      </c>
      <c r="H1168" s="137" t="s">
        <v>5853</v>
      </c>
      <c r="I1168" s="113" t="s">
        <v>292</v>
      </c>
      <c r="J1168" s="108" t="str">
        <f t="shared" si="18"/>
        <v>178915</v>
      </c>
    </row>
    <row r="1169" spans="1:10" ht="15" customHeight="1" x14ac:dyDescent="0.25">
      <c r="A1169" t="str">
        <f>Table1[[#This Row],[District name]]&amp;" "&amp;Table1[[#This Row],[District number]]</f>
        <v>WEST RUSK COUNTY CONSOLIDATED ISD 201914</v>
      </c>
      <c r="B1169" t="s">
        <v>5854</v>
      </c>
      <c r="C1169" s="1"/>
      <c r="D1169" t="s">
        <v>5855</v>
      </c>
      <c r="E1169" s="2" t="s">
        <v>383</v>
      </c>
      <c r="F1169" s="137" t="s">
        <v>3289</v>
      </c>
      <c r="G1169" s="137" t="s">
        <v>3290</v>
      </c>
      <c r="H1169" s="137" t="s">
        <v>5856</v>
      </c>
      <c r="I1169" s="113" t="s">
        <v>292</v>
      </c>
      <c r="J1169" s="108" t="str">
        <f t="shared" si="18"/>
        <v>201914</v>
      </c>
    </row>
    <row r="1170" spans="1:10" ht="15" customHeight="1" x14ac:dyDescent="0.25">
      <c r="A1170" t="str">
        <f>Table1[[#This Row],[District name]]&amp;" "&amp;Table1[[#This Row],[District number]]</f>
        <v>WEST SABINE ISD 202905</v>
      </c>
      <c r="B1170" t="s">
        <v>5857</v>
      </c>
      <c r="C1170" s="1"/>
      <c r="D1170" t="s">
        <v>5858</v>
      </c>
      <c r="E1170" s="2" t="s">
        <v>383</v>
      </c>
      <c r="F1170" s="137" t="s">
        <v>5859</v>
      </c>
      <c r="G1170" s="137" t="s">
        <v>5860</v>
      </c>
      <c r="H1170" s="137" t="s">
        <v>5861</v>
      </c>
      <c r="I1170" s="113" t="s">
        <v>292</v>
      </c>
      <c r="J1170" s="108" t="str">
        <f t="shared" si="18"/>
        <v>202905</v>
      </c>
    </row>
    <row r="1171" spans="1:10" ht="15" customHeight="1" x14ac:dyDescent="0.25">
      <c r="A1171" t="str">
        <f>Table1[[#This Row],[District name]]&amp;" "&amp;Table1[[#This Row],[District number]]</f>
        <v>WESTBROOK ISD 168903</v>
      </c>
      <c r="B1171" t="s">
        <v>5862</v>
      </c>
      <c r="C1171" s="1"/>
      <c r="D1171" t="s">
        <v>5863</v>
      </c>
      <c r="E1171" s="2" t="s">
        <v>314</v>
      </c>
      <c r="F1171" s="137" t="s">
        <v>5864</v>
      </c>
      <c r="G1171" s="137" t="s">
        <v>5865</v>
      </c>
      <c r="H1171" s="137" t="s">
        <v>5866</v>
      </c>
      <c r="I1171" s="113" t="s">
        <v>292</v>
      </c>
      <c r="J1171" s="108" t="str">
        <f t="shared" si="18"/>
        <v>168903</v>
      </c>
    </row>
    <row r="1172" spans="1:10" ht="15" customHeight="1" x14ac:dyDescent="0.25">
      <c r="A1172" t="str">
        <f>Table1[[#This Row],[District name]]&amp;" "&amp;Table1[[#This Row],[District number]]</f>
        <v>WESTHOFF ISD 062905</v>
      </c>
      <c r="B1172" t="s">
        <v>5867</v>
      </c>
      <c r="C1172" s="1"/>
      <c r="D1172" t="s">
        <v>5868</v>
      </c>
      <c r="E1172" s="2" t="s">
        <v>614</v>
      </c>
      <c r="F1172" s="137" t="s">
        <v>5869</v>
      </c>
      <c r="G1172" s="137" t="s">
        <v>5870</v>
      </c>
      <c r="H1172" s="137" t="s">
        <v>5871</v>
      </c>
      <c r="I1172" s="113" t="s">
        <v>292</v>
      </c>
      <c r="J1172" s="108" t="str">
        <f t="shared" si="18"/>
        <v>062905</v>
      </c>
    </row>
    <row r="1173" spans="1:10" ht="15" customHeight="1" x14ac:dyDescent="0.25">
      <c r="A1173" t="str">
        <f>Table1[[#This Row],[District name]]&amp;" "&amp;Table1[[#This Row],[District number]]</f>
        <v>WESTLAKE ACADEMY CHARTER SCHOOL 220810</v>
      </c>
      <c r="B1173" t="s">
        <v>5872</v>
      </c>
      <c r="C1173" s="1"/>
      <c r="D1173" t="s">
        <v>5873</v>
      </c>
      <c r="E1173" s="2" t="s">
        <v>402</v>
      </c>
      <c r="F1173" s="137" t="s">
        <v>5874</v>
      </c>
      <c r="G1173" s="137" t="s">
        <v>5875</v>
      </c>
      <c r="H1173" s="137" t="s">
        <v>5876</v>
      </c>
      <c r="I1173" s="113" t="s">
        <v>292</v>
      </c>
      <c r="J1173" s="108" t="str">
        <f t="shared" si="18"/>
        <v>220810</v>
      </c>
    </row>
    <row r="1174" spans="1:10" ht="15" customHeight="1" x14ac:dyDescent="0.25">
      <c r="A1174" t="str">
        <f>Table1[[#This Row],[District name]]&amp;" "&amp;Table1[[#This Row],[District number]]</f>
        <v>WESTPHALIA ISD 073904</v>
      </c>
      <c r="B1174" t="s">
        <v>5877</v>
      </c>
      <c r="C1174" s="1"/>
      <c r="D1174" t="s">
        <v>5878</v>
      </c>
      <c r="E1174" s="2" t="s">
        <v>301</v>
      </c>
      <c r="F1174" s="137" t="s">
        <v>5879</v>
      </c>
      <c r="G1174" s="137" t="s">
        <v>5880</v>
      </c>
      <c r="H1174" s="137" t="s">
        <v>5881</v>
      </c>
      <c r="I1174" s="113" t="s">
        <v>292</v>
      </c>
      <c r="J1174" s="108" t="str">
        <f t="shared" si="18"/>
        <v>073904</v>
      </c>
    </row>
    <row r="1175" spans="1:10" ht="15" customHeight="1" x14ac:dyDescent="0.25">
      <c r="A1175" t="str">
        <f>Table1[[#This Row],[District name]]&amp;" "&amp;Table1[[#This Row],[District number]]</f>
        <v>WESTWOOD ISD 001908</v>
      </c>
      <c r="B1175" t="s">
        <v>5882</v>
      </c>
      <c r="C1175" s="1"/>
      <c r="D1175" t="s">
        <v>5883</v>
      </c>
      <c r="E1175" s="2" t="s">
        <v>383</v>
      </c>
      <c r="F1175" s="137" t="s">
        <v>5884</v>
      </c>
      <c r="G1175" s="137" t="s">
        <v>5885</v>
      </c>
      <c r="H1175" s="137" t="s">
        <v>5886</v>
      </c>
      <c r="I1175" s="113" t="s">
        <v>292</v>
      </c>
      <c r="J1175" s="108" t="str">
        <f t="shared" si="18"/>
        <v>001908</v>
      </c>
    </row>
    <row r="1176" spans="1:10" ht="15" customHeight="1" x14ac:dyDescent="0.25">
      <c r="A1176" t="str">
        <f>Table1[[#This Row],[District name]]&amp;" "&amp;Table1[[#This Row],[District number]]</f>
        <v>WHARTON ISD 241904</v>
      </c>
      <c r="B1176" t="s">
        <v>5887</v>
      </c>
      <c r="C1176" s="1"/>
      <c r="D1176" t="s">
        <v>5888</v>
      </c>
      <c r="E1176" s="2" t="s">
        <v>614</v>
      </c>
      <c r="F1176" s="137" t="s">
        <v>5889</v>
      </c>
      <c r="G1176" s="137" t="s">
        <v>5890</v>
      </c>
      <c r="H1176" s="137" t="s">
        <v>5891</v>
      </c>
      <c r="I1176" s="113" t="s">
        <v>292</v>
      </c>
      <c r="J1176" s="108" t="str">
        <f t="shared" si="18"/>
        <v>241904</v>
      </c>
    </row>
    <row r="1177" spans="1:10" ht="15" customHeight="1" x14ac:dyDescent="0.25">
      <c r="A1177" t="str">
        <f>Table1[[#This Row],[District name]]&amp;" "&amp;Table1[[#This Row],[District number]]</f>
        <v>WHEELER ISD 242903</v>
      </c>
      <c r="B1177" t="s">
        <v>5892</v>
      </c>
      <c r="C1177" s="1"/>
      <c r="D1177" t="s">
        <v>5893</v>
      </c>
      <c r="E1177" s="2" t="s">
        <v>356</v>
      </c>
      <c r="F1177" s="137" t="s">
        <v>5894</v>
      </c>
      <c r="G1177" s="137" t="s">
        <v>5895</v>
      </c>
      <c r="H1177" s="137" t="s">
        <v>5896</v>
      </c>
      <c r="I1177" s="113" t="s">
        <v>292</v>
      </c>
      <c r="J1177" s="108" t="str">
        <f t="shared" si="18"/>
        <v>242903</v>
      </c>
    </row>
    <row r="1178" spans="1:10" ht="15" customHeight="1" x14ac:dyDescent="0.25">
      <c r="A1178" t="str">
        <f>Table1[[#This Row],[District name]]&amp;" "&amp;Table1[[#This Row],[District number]]</f>
        <v>WHITE DEER ISD 033904</v>
      </c>
      <c r="B1178" t="s">
        <v>5897</v>
      </c>
      <c r="C1178" s="1"/>
      <c r="D1178" t="s">
        <v>5898</v>
      </c>
      <c r="E1178" s="2" t="s">
        <v>356</v>
      </c>
      <c r="F1178" s="137" t="s">
        <v>5899</v>
      </c>
      <c r="G1178" s="137" t="s">
        <v>3768</v>
      </c>
      <c r="H1178" s="137" t="s">
        <v>5900</v>
      </c>
      <c r="I1178" s="113" t="s">
        <v>292</v>
      </c>
      <c r="J1178" s="108" t="str">
        <f t="shared" si="18"/>
        <v>033904</v>
      </c>
    </row>
    <row r="1179" spans="1:10" ht="15" customHeight="1" x14ac:dyDescent="0.25">
      <c r="A1179" t="str">
        <f>Table1[[#This Row],[District name]]&amp;" "&amp;Table1[[#This Row],[District number]]</f>
        <v>WHITE OAK ISD 092908</v>
      </c>
      <c r="B1179" t="s">
        <v>5901</v>
      </c>
      <c r="C1179" s="1"/>
      <c r="D1179" t="s">
        <v>5902</v>
      </c>
      <c r="E1179" s="2" t="s">
        <v>383</v>
      </c>
      <c r="F1179" s="137" t="s">
        <v>5903</v>
      </c>
      <c r="G1179" s="137" t="s">
        <v>4679</v>
      </c>
      <c r="H1179" s="137" t="s">
        <v>5904</v>
      </c>
      <c r="I1179" s="113" t="s">
        <v>292</v>
      </c>
      <c r="J1179" s="108" t="str">
        <f t="shared" si="18"/>
        <v>092908</v>
      </c>
    </row>
    <row r="1180" spans="1:10" ht="15" customHeight="1" x14ac:dyDescent="0.25">
      <c r="A1180" t="str">
        <f>Table1[[#This Row],[District name]]&amp;" "&amp;Table1[[#This Row],[District number]]</f>
        <v>WHITE SETTLEMENT ISD 220920</v>
      </c>
      <c r="B1180" t="s">
        <v>5905</v>
      </c>
      <c r="C1180" s="1"/>
      <c r="D1180" t="s">
        <v>5906</v>
      </c>
      <c r="E1180" s="2" t="s">
        <v>402</v>
      </c>
      <c r="F1180" s="137" t="s">
        <v>5907</v>
      </c>
      <c r="G1180" s="137" t="s">
        <v>5908</v>
      </c>
      <c r="H1180" s="137" t="s">
        <v>5909</v>
      </c>
      <c r="I1180" s="113" t="s">
        <v>292</v>
      </c>
      <c r="J1180" s="108" t="str">
        <f t="shared" si="18"/>
        <v>220920</v>
      </c>
    </row>
    <row r="1181" spans="1:10" ht="15" customHeight="1" x14ac:dyDescent="0.25">
      <c r="A1181" t="str">
        <f>Table1[[#This Row],[District name]]&amp;" "&amp;Table1[[#This Row],[District number]]</f>
        <v>WHITEFACE CISD 040902</v>
      </c>
      <c r="B1181" t="s">
        <v>5910</v>
      </c>
      <c r="C1181" s="1"/>
      <c r="D1181" t="s">
        <v>5911</v>
      </c>
      <c r="E1181" s="2" t="s">
        <v>308</v>
      </c>
      <c r="F1181" s="137" t="s">
        <v>5912</v>
      </c>
      <c r="G1181" s="137" t="s">
        <v>5913</v>
      </c>
      <c r="H1181" s="137" t="s">
        <v>5914</v>
      </c>
      <c r="I1181" s="113" t="s">
        <v>292</v>
      </c>
      <c r="J1181" s="108" t="str">
        <f t="shared" si="18"/>
        <v>040902</v>
      </c>
    </row>
    <row r="1182" spans="1:10" ht="15" customHeight="1" x14ac:dyDescent="0.25">
      <c r="A1182" t="str">
        <f>Table1[[#This Row],[District name]]&amp;" "&amp;Table1[[#This Row],[District number]]</f>
        <v>WHITEHOUSE ISD 212906</v>
      </c>
      <c r="B1182" t="s">
        <v>5915</v>
      </c>
      <c r="C1182" s="1"/>
      <c r="D1182" t="s">
        <v>5916</v>
      </c>
      <c r="E1182" s="2" t="s">
        <v>383</v>
      </c>
      <c r="F1182" s="137" t="s">
        <v>5917</v>
      </c>
      <c r="G1182" s="137" t="s">
        <v>5918</v>
      </c>
      <c r="H1182" s="137" t="s">
        <v>5919</v>
      </c>
      <c r="I1182" s="113" t="s">
        <v>292</v>
      </c>
      <c r="J1182" s="108" t="str">
        <f t="shared" si="18"/>
        <v>212906</v>
      </c>
    </row>
    <row r="1183" spans="1:10" ht="15" customHeight="1" x14ac:dyDescent="0.25">
      <c r="A1183" t="str">
        <f>Table1[[#This Row],[District name]]&amp;" "&amp;Table1[[#This Row],[District number]]</f>
        <v>WHITESBORO ISD 091909</v>
      </c>
      <c r="B1183" t="s">
        <v>5920</v>
      </c>
      <c r="C1183" s="1"/>
      <c r="D1183" t="s">
        <v>5921</v>
      </c>
      <c r="E1183" s="2" t="s">
        <v>288</v>
      </c>
      <c r="F1183" s="137" t="s">
        <v>5922</v>
      </c>
      <c r="G1183" s="137" t="s">
        <v>5923</v>
      </c>
      <c r="H1183" s="137" t="s">
        <v>5924</v>
      </c>
      <c r="I1183" s="113" t="s">
        <v>292</v>
      </c>
      <c r="J1183" s="108" t="str">
        <f t="shared" si="18"/>
        <v>091909</v>
      </c>
    </row>
    <row r="1184" spans="1:10" ht="15" customHeight="1" x14ac:dyDescent="0.25">
      <c r="A1184" t="str">
        <f>Table1[[#This Row],[District name]]&amp;" "&amp;Table1[[#This Row],[District number]]</f>
        <v>WHITEWRIGHT ISD 091910</v>
      </c>
      <c r="B1184" t="s">
        <v>5925</v>
      </c>
      <c r="C1184" s="1"/>
      <c r="D1184" t="s">
        <v>5926</v>
      </c>
      <c r="E1184" s="2" t="s">
        <v>288</v>
      </c>
      <c r="F1184" s="137" t="s">
        <v>5927</v>
      </c>
      <c r="G1184" s="137" t="s">
        <v>5928</v>
      </c>
      <c r="H1184" s="137" t="s">
        <v>5929</v>
      </c>
      <c r="I1184" s="113" t="s">
        <v>292</v>
      </c>
      <c r="J1184" s="108" t="str">
        <f t="shared" si="18"/>
        <v>091910</v>
      </c>
    </row>
    <row r="1185" spans="1:10" ht="15" customHeight="1" x14ac:dyDescent="0.25">
      <c r="A1185" t="str">
        <f>Table1[[#This Row],[District name]]&amp;" "&amp;Table1[[#This Row],[District number]]</f>
        <v>WHITHARRAL ISD 110908</v>
      </c>
      <c r="B1185" t="s">
        <v>5930</v>
      </c>
      <c r="C1185" s="1"/>
      <c r="D1185" t="s">
        <v>5931</v>
      </c>
      <c r="E1185" s="2" t="s">
        <v>308</v>
      </c>
      <c r="F1185" s="137" t="s">
        <v>5932</v>
      </c>
      <c r="G1185" s="137" t="s">
        <v>5933</v>
      </c>
      <c r="H1185" s="137" t="s">
        <v>5934</v>
      </c>
      <c r="I1185" s="113" t="s">
        <v>292</v>
      </c>
      <c r="J1185" s="108" t="str">
        <f t="shared" si="18"/>
        <v>110908</v>
      </c>
    </row>
    <row r="1186" spans="1:10" ht="15" customHeight="1" x14ac:dyDescent="0.25">
      <c r="A1186" t="str">
        <f>Table1[[#This Row],[District name]]&amp;" "&amp;Table1[[#This Row],[District number]]</f>
        <v>WHITNEY ISD 109911</v>
      </c>
      <c r="B1186" t="s">
        <v>5935</v>
      </c>
      <c r="C1186" s="1"/>
      <c r="D1186" t="s">
        <v>5936</v>
      </c>
      <c r="E1186" s="2" t="s">
        <v>301</v>
      </c>
      <c r="F1186" s="137" t="s">
        <v>926</v>
      </c>
      <c r="G1186" s="137" t="s">
        <v>5937</v>
      </c>
      <c r="H1186" s="137" t="s">
        <v>5938</v>
      </c>
      <c r="I1186" s="113" t="s">
        <v>292</v>
      </c>
      <c r="J1186" s="108" t="str">
        <f t="shared" si="18"/>
        <v>109911</v>
      </c>
    </row>
    <row r="1187" spans="1:10" ht="15" customHeight="1" x14ac:dyDescent="0.25">
      <c r="A1187" t="str">
        <f>Table1[[#This Row],[District name]]&amp;" "&amp;Table1[[#This Row],[District number]]</f>
        <v>WICHITA FALLS ISD 243905</v>
      </c>
      <c r="B1187" t="s">
        <v>5939</v>
      </c>
      <c r="C1187" s="1"/>
      <c r="D1187" t="s">
        <v>5940</v>
      </c>
      <c r="E1187" s="2" t="s">
        <v>541</v>
      </c>
      <c r="F1187" s="137" t="s">
        <v>2509</v>
      </c>
      <c r="G1187" s="137" t="s">
        <v>5941</v>
      </c>
      <c r="H1187" s="137" t="s">
        <v>2511</v>
      </c>
      <c r="I1187" s="113" t="s">
        <v>292</v>
      </c>
      <c r="J1187" s="108" t="str">
        <f t="shared" si="18"/>
        <v>243905</v>
      </c>
    </row>
    <row r="1188" spans="1:10" ht="15" customHeight="1" x14ac:dyDescent="0.25">
      <c r="A1188" t="str">
        <f>Table1[[#This Row],[District name]]&amp;" "&amp;Table1[[#This Row],[District number]]</f>
        <v>WILDORADO ISD 180904</v>
      </c>
      <c r="B1188" t="s">
        <v>5942</v>
      </c>
      <c r="C1188" s="1"/>
      <c r="D1188" t="s">
        <v>5943</v>
      </c>
      <c r="E1188" s="2" t="s">
        <v>356</v>
      </c>
      <c r="F1188" s="137" t="s">
        <v>5944</v>
      </c>
      <c r="G1188" s="137" t="s">
        <v>5945</v>
      </c>
      <c r="H1188" s="137" t="s">
        <v>5946</v>
      </c>
      <c r="I1188" s="113" t="s">
        <v>292</v>
      </c>
      <c r="J1188" s="108" t="str">
        <f t="shared" si="18"/>
        <v>180904</v>
      </c>
    </row>
    <row r="1189" spans="1:10" ht="15" customHeight="1" x14ac:dyDescent="0.25">
      <c r="A1189" t="str">
        <f>Table1[[#This Row],[District name]]&amp;" "&amp;Table1[[#This Row],[District number]]</f>
        <v>WILLIS ISD 170904</v>
      </c>
      <c r="B1189" t="s">
        <v>5947</v>
      </c>
      <c r="C1189" s="1"/>
      <c r="D1189" t="s">
        <v>5948</v>
      </c>
      <c r="E1189" s="2" t="s">
        <v>480</v>
      </c>
      <c r="F1189" s="137" t="s">
        <v>5949</v>
      </c>
      <c r="G1189" s="137" t="s">
        <v>2389</v>
      </c>
      <c r="H1189" s="137" t="s">
        <v>5950</v>
      </c>
      <c r="I1189" s="113" t="s">
        <v>292</v>
      </c>
      <c r="J1189" s="108" t="str">
        <f t="shared" si="18"/>
        <v>170904</v>
      </c>
    </row>
    <row r="1190" spans="1:10" ht="15" customHeight="1" x14ac:dyDescent="0.25">
      <c r="A1190" t="str">
        <f>Table1[[#This Row],[District name]]&amp;" "&amp;Table1[[#This Row],[District number]]</f>
        <v>WILLS POINT ISD 234907</v>
      </c>
      <c r="B1190" t="s">
        <v>5951</v>
      </c>
      <c r="C1190" s="1"/>
      <c r="D1190" t="s">
        <v>5952</v>
      </c>
      <c r="E1190" s="2" t="s">
        <v>383</v>
      </c>
      <c r="F1190" s="137" t="s">
        <v>5953</v>
      </c>
      <c r="G1190" s="137" t="s">
        <v>610</v>
      </c>
      <c r="H1190" s="137" t="s">
        <v>5954</v>
      </c>
      <c r="I1190" s="113" t="s">
        <v>292</v>
      </c>
      <c r="J1190" s="108" t="str">
        <f t="shared" si="18"/>
        <v>234907</v>
      </c>
    </row>
    <row r="1191" spans="1:10" ht="15" customHeight="1" x14ac:dyDescent="0.25">
      <c r="A1191" t="str">
        <f>Table1[[#This Row],[District name]]&amp;" "&amp;Table1[[#This Row],[District number]]</f>
        <v>WILSON ISD 153907</v>
      </c>
      <c r="B1191" t="s">
        <v>5955</v>
      </c>
      <c r="C1191" s="1"/>
      <c r="D1191" t="s">
        <v>5956</v>
      </c>
      <c r="E1191" s="2" t="s">
        <v>308</v>
      </c>
      <c r="F1191" s="137" t="s">
        <v>5957</v>
      </c>
      <c r="G1191" s="137" t="s">
        <v>5958</v>
      </c>
      <c r="H1191" s="137" t="s">
        <v>5959</v>
      </c>
      <c r="I1191" s="113" t="s">
        <v>292</v>
      </c>
      <c r="J1191" s="108" t="str">
        <f t="shared" si="18"/>
        <v>153907</v>
      </c>
    </row>
    <row r="1192" spans="1:10" ht="15" customHeight="1" x14ac:dyDescent="0.25">
      <c r="A1192" t="str">
        <f>Table1[[#This Row],[District name]]&amp;" "&amp;Table1[[#This Row],[District number]]</f>
        <v>WIMBERLEY ISD 105905</v>
      </c>
      <c r="B1192" t="s">
        <v>5960</v>
      </c>
      <c r="C1192" s="1"/>
      <c r="D1192" t="s">
        <v>5961</v>
      </c>
      <c r="E1192" s="2" t="s">
        <v>598</v>
      </c>
      <c r="F1192" s="137" t="s">
        <v>1203</v>
      </c>
      <c r="G1192" s="137" t="s">
        <v>5962</v>
      </c>
      <c r="H1192" s="137" t="s">
        <v>5963</v>
      </c>
      <c r="I1192" s="113" t="s">
        <v>292</v>
      </c>
      <c r="J1192" s="108" t="str">
        <f t="shared" si="18"/>
        <v>105905</v>
      </c>
    </row>
    <row r="1193" spans="1:10" ht="15" customHeight="1" x14ac:dyDescent="0.25">
      <c r="A1193" t="str">
        <f>Table1[[#This Row],[District name]]&amp;" "&amp;Table1[[#This Row],[District number]]</f>
        <v>WINDTHORST ISD 005904</v>
      </c>
      <c r="B1193" t="s">
        <v>5964</v>
      </c>
      <c r="C1193" s="1"/>
      <c r="D1193" t="s">
        <v>5965</v>
      </c>
      <c r="E1193" s="2" t="s">
        <v>541</v>
      </c>
      <c r="F1193" s="137" t="s">
        <v>2198</v>
      </c>
      <c r="G1193" s="137" t="s">
        <v>5966</v>
      </c>
      <c r="H1193" s="137" t="s">
        <v>5967</v>
      </c>
      <c r="I1193" s="113" t="s">
        <v>292</v>
      </c>
      <c r="J1193" s="108" t="str">
        <f t="shared" si="18"/>
        <v>005904</v>
      </c>
    </row>
    <row r="1194" spans="1:10" ht="15" customHeight="1" x14ac:dyDescent="0.25">
      <c r="A1194" t="str">
        <f>Table1[[#This Row],[District name]]&amp;" "&amp;Table1[[#This Row],[District number]]</f>
        <v>WINFREE ACADEMY CHARTER SCHOOLS 057828</v>
      </c>
      <c r="B1194" t="s">
        <v>5968</v>
      </c>
      <c r="C1194" s="1"/>
      <c r="D1194" t="s">
        <v>5969</v>
      </c>
      <c r="E1194" s="2" t="s">
        <v>288</v>
      </c>
      <c r="F1194" s="137" t="s">
        <v>2120</v>
      </c>
      <c r="G1194" s="137" t="s">
        <v>2121</v>
      </c>
      <c r="H1194" s="137" t="s">
        <v>2122</v>
      </c>
      <c r="I1194" s="113" t="s">
        <v>292</v>
      </c>
      <c r="J1194" s="108" t="str">
        <f t="shared" si="18"/>
        <v>057828</v>
      </c>
    </row>
    <row r="1195" spans="1:10" ht="15" customHeight="1" x14ac:dyDescent="0.25">
      <c r="A1195" t="str">
        <f>Table1[[#This Row],[District name]]&amp;" "&amp;Table1[[#This Row],[District number]]</f>
        <v>WINK-LOVING ISD 248902</v>
      </c>
      <c r="B1195" t="s">
        <v>5970</v>
      </c>
      <c r="C1195" s="1"/>
      <c r="D1195" t="s">
        <v>5971</v>
      </c>
      <c r="E1195" s="2" t="s">
        <v>430</v>
      </c>
      <c r="F1195" s="137" t="s">
        <v>5972</v>
      </c>
      <c r="G1195" s="137" t="s">
        <v>5973</v>
      </c>
      <c r="H1195" s="137" t="s">
        <v>5974</v>
      </c>
      <c r="I1195" s="113" t="s">
        <v>292</v>
      </c>
      <c r="J1195" s="108" t="str">
        <f t="shared" si="18"/>
        <v>248902</v>
      </c>
    </row>
    <row r="1196" spans="1:10" ht="15" customHeight="1" x14ac:dyDescent="0.25">
      <c r="A1196" t="str">
        <f>Table1[[#This Row],[District name]]&amp;" "&amp;Table1[[#This Row],[District number]]</f>
        <v>WINNSBORO ISD 250907</v>
      </c>
      <c r="B1196" t="s">
        <v>5975</v>
      </c>
      <c r="C1196" s="1"/>
      <c r="D1196" t="s">
        <v>5976</v>
      </c>
      <c r="E1196" s="2" t="s">
        <v>383</v>
      </c>
      <c r="F1196" s="137" t="s">
        <v>5977</v>
      </c>
      <c r="G1196" s="137" t="s">
        <v>5978</v>
      </c>
      <c r="H1196" s="137" t="s">
        <v>5979</v>
      </c>
      <c r="I1196" s="113" t="s">
        <v>292</v>
      </c>
      <c r="J1196" s="108" t="str">
        <f t="shared" si="18"/>
        <v>250907</v>
      </c>
    </row>
    <row r="1197" spans="1:10" ht="15" customHeight="1" x14ac:dyDescent="0.25">
      <c r="A1197" t="str">
        <f>Table1[[#This Row],[District name]]&amp;" "&amp;Table1[[#This Row],[District number]]</f>
        <v>WINONA ISD 212910</v>
      </c>
      <c r="B1197" t="s">
        <v>5980</v>
      </c>
      <c r="C1197" s="1"/>
      <c r="D1197" t="s">
        <v>5981</v>
      </c>
      <c r="E1197" s="2" t="s">
        <v>383</v>
      </c>
      <c r="F1197" s="137" t="s">
        <v>5982</v>
      </c>
      <c r="G1197" s="137" t="s">
        <v>5983</v>
      </c>
      <c r="H1197" s="137" t="s">
        <v>5984</v>
      </c>
      <c r="I1197" s="113" t="s">
        <v>292</v>
      </c>
      <c r="J1197" s="108" t="str">
        <f t="shared" si="18"/>
        <v>212910</v>
      </c>
    </row>
    <row r="1198" spans="1:10" ht="15" customHeight="1" x14ac:dyDescent="0.25">
      <c r="A1198" t="str">
        <f>Table1[[#This Row],[District name]]&amp;" "&amp;Table1[[#This Row],[District number]]</f>
        <v>WINTERS ISD 200904</v>
      </c>
      <c r="B1198" t="s">
        <v>5985</v>
      </c>
      <c r="C1198" s="1"/>
      <c r="D1198" t="s">
        <v>5986</v>
      </c>
      <c r="E1198" s="2" t="s">
        <v>650</v>
      </c>
      <c r="F1198" s="137" t="s">
        <v>5987</v>
      </c>
      <c r="G1198" s="137" t="s">
        <v>5988</v>
      </c>
      <c r="H1198" s="137" t="s">
        <v>5989</v>
      </c>
      <c r="I1198" s="113" t="s">
        <v>292</v>
      </c>
      <c r="J1198" s="108" t="str">
        <f t="shared" si="18"/>
        <v>200904</v>
      </c>
    </row>
    <row r="1199" spans="1:10" ht="15" customHeight="1" x14ac:dyDescent="0.25">
      <c r="A1199" t="str">
        <f>Table1[[#This Row],[District name]]&amp;" "&amp;Table1[[#This Row],[District number]]</f>
        <v>WODEN ISD 174906</v>
      </c>
      <c r="B1199" t="s">
        <v>5990</v>
      </c>
      <c r="C1199" s="1"/>
      <c r="D1199" t="s">
        <v>5991</v>
      </c>
      <c r="E1199" s="2" t="s">
        <v>383</v>
      </c>
      <c r="F1199" s="137" t="s">
        <v>3255</v>
      </c>
      <c r="G1199" s="137" t="s">
        <v>5992</v>
      </c>
      <c r="H1199" s="137" t="s">
        <v>5993</v>
      </c>
      <c r="I1199" s="113" t="s">
        <v>292</v>
      </c>
      <c r="J1199" s="108" t="str">
        <f t="shared" si="18"/>
        <v>174906</v>
      </c>
    </row>
    <row r="1200" spans="1:10" ht="15" customHeight="1" x14ac:dyDescent="0.25">
      <c r="A1200" t="str">
        <f>Table1[[#This Row],[District name]]&amp;" "&amp;Table1[[#This Row],[District number]]</f>
        <v>WOLFE CITY ISD 116909</v>
      </c>
      <c r="B1200" t="s">
        <v>5994</v>
      </c>
      <c r="C1200" s="1"/>
      <c r="D1200" t="s">
        <v>5995</v>
      </c>
      <c r="E1200" s="2" t="s">
        <v>288</v>
      </c>
      <c r="F1200" s="137" t="s">
        <v>5996</v>
      </c>
      <c r="G1200" s="137" t="s">
        <v>5997</v>
      </c>
      <c r="H1200" s="137" t="s">
        <v>5998</v>
      </c>
      <c r="I1200" s="113" t="s">
        <v>292</v>
      </c>
      <c r="J1200" s="108" t="str">
        <f t="shared" si="18"/>
        <v>116909</v>
      </c>
    </row>
    <row r="1201" spans="1:10" ht="15" customHeight="1" x14ac:dyDescent="0.25">
      <c r="A1201" t="str">
        <f>Table1[[#This Row],[District name]]&amp;" "&amp;Table1[[#This Row],[District number]]</f>
        <v>WOODSBORO ISD 196902</v>
      </c>
      <c r="B1201" t="s">
        <v>5999</v>
      </c>
      <c r="C1201" s="1"/>
      <c r="D1201" t="s">
        <v>6000</v>
      </c>
      <c r="E1201" s="2" t="s">
        <v>614</v>
      </c>
      <c r="F1201" s="137" t="s">
        <v>6001</v>
      </c>
      <c r="G1201" s="137" t="s">
        <v>6002</v>
      </c>
      <c r="H1201" s="137" t="s">
        <v>6003</v>
      </c>
      <c r="I1201" s="113" t="s">
        <v>292</v>
      </c>
      <c r="J1201" s="108" t="str">
        <f t="shared" si="18"/>
        <v>196902</v>
      </c>
    </row>
    <row r="1202" spans="1:10" ht="15" customHeight="1" x14ac:dyDescent="0.25">
      <c r="A1202" t="str">
        <f>Table1[[#This Row],[District name]]&amp;" "&amp;Table1[[#This Row],[District number]]</f>
        <v>WOODSON ISD 224902</v>
      </c>
      <c r="B1202" t="s">
        <v>6004</v>
      </c>
      <c r="C1202" s="1"/>
      <c r="D1202" t="s">
        <v>6005</v>
      </c>
      <c r="E1202" s="2" t="s">
        <v>541</v>
      </c>
      <c r="F1202" s="137" t="s">
        <v>1078</v>
      </c>
      <c r="G1202" s="137" t="s">
        <v>1079</v>
      </c>
      <c r="H1202" s="137" t="s">
        <v>6006</v>
      </c>
      <c r="I1202" s="113" t="s">
        <v>292</v>
      </c>
      <c r="J1202" s="108" t="str">
        <f t="shared" si="18"/>
        <v>224902</v>
      </c>
    </row>
    <row r="1203" spans="1:10" ht="15" customHeight="1" x14ac:dyDescent="0.25">
      <c r="A1203" t="str">
        <f>Table1[[#This Row],[District name]]&amp;" "&amp;Table1[[#This Row],[District number]]</f>
        <v>WOODVILLE ISD 229903</v>
      </c>
      <c r="B1203" t="s">
        <v>6007</v>
      </c>
      <c r="C1203" s="1"/>
      <c r="D1203" t="s">
        <v>6008</v>
      </c>
      <c r="E1203" s="2" t="s">
        <v>706</v>
      </c>
      <c r="F1203" s="137" t="s">
        <v>6009</v>
      </c>
      <c r="G1203" s="137" t="s">
        <v>6010</v>
      </c>
      <c r="H1203" s="137" t="s">
        <v>6011</v>
      </c>
      <c r="I1203" s="113" t="s">
        <v>292</v>
      </c>
      <c r="J1203" s="108" t="str">
        <f t="shared" si="18"/>
        <v>229903</v>
      </c>
    </row>
    <row r="1204" spans="1:10" ht="15" customHeight="1" x14ac:dyDescent="0.25">
      <c r="A1204" t="str">
        <f>Table1[[#This Row],[District name]]&amp;" "&amp;Table1[[#This Row],[District number]]</f>
        <v>WORTHAM ISD 081905</v>
      </c>
      <c r="B1204" t="s">
        <v>6012</v>
      </c>
      <c r="C1204" s="1"/>
      <c r="D1204" t="s">
        <v>6013</v>
      </c>
      <c r="E1204" s="2" t="s">
        <v>301</v>
      </c>
      <c r="F1204" s="137" t="s">
        <v>6014</v>
      </c>
      <c r="G1204" s="137" t="s">
        <v>3580</v>
      </c>
      <c r="H1204" s="137" t="s">
        <v>6015</v>
      </c>
      <c r="I1204" s="113" t="s">
        <v>292</v>
      </c>
      <c r="J1204" s="108" t="str">
        <f t="shared" si="18"/>
        <v>081905</v>
      </c>
    </row>
    <row r="1205" spans="1:10" ht="15" customHeight="1" x14ac:dyDescent="0.25">
      <c r="A1205" t="str">
        <f>Table1[[#This Row],[District name]]&amp;" "&amp;Table1[[#This Row],[District number]]</f>
        <v>WYLIE ISD 043914</v>
      </c>
      <c r="B1205" t="s">
        <v>6016</v>
      </c>
      <c r="C1205" s="1"/>
      <c r="D1205" t="s">
        <v>6017</v>
      </c>
      <c r="E1205" s="2" t="s">
        <v>288</v>
      </c>
      <c r="F1205" s="137" t="s">
        <v>6018</v>
      </c>
      <c r="G1205" s="137" t="s">
        <v>6019</v>
      </c>
      <c r="H1205" s="137" t="s">
        <v>4219</v>
      </c>
      <c r="I1205" s="113" t="s">
        <v>292</v>
      </c>
      <c r="J1205" s="108" t="str">
        <f t="shared" si="18"/>
        <v>043914</v>
      </c>
    </row>
    <row r="1206" spans="1:10" ht="15" customHeight="1" x14ac:dyDescent="0.25">
      <c r="A1206" t="str">
        <f>Table1[[#This Row],[District name]]&amp;" "&amp;Table1[[#This Row],[District number]]</f>
        <v>WYLIE ISD 221912</v>
      </c>
      <c r="B1206" t="s">
        <v>6020</v>
      </c>
      <c r="C1206" s="1"/>
      <c r="D1206" t="s">
        <v>6017</v>
      </c>
      <c r="E1206" s="2" t="s">
        <v>314</v>
      </c>
      <c r="F1206" s="137" t="s">
        <v>6021</v>
      </c>
      <c r="G1206" s="137" t="s">
        <v>4684</v>
      </c>
      <c r="H1206" s="137" t="s">
        <v>6022</v>
      </c>
      <c r="I1206" s="113" t="s">
        <v>292</v>
      </c>
      <c r="J1206" s="108" t="str">
        <f t="shared" si="18"/>
        <v>221912</v>
      </c>
    </row>
    <row r="1207" spans="1:10" ht="15" customHeight="1" x14ac:dyDescent="0.25">
      <c r="A1207" t="str">
        <f>Table1[[#This Row],[District name]]&amp;" "&amp;Table1[[#This Row],[District number]]</f>
        <v>YANTIS ISD 250905</v>
      </c>
      <c r="B1207" t="s">
        <v>6023</v>
      </c>
      <c r="C1207" s="1"/>
      <c r="D1207" t="s">
        <v>6024</v>
      </c>
      <c r="E1207" s="2" t="s">
        <v>383</v>
      </c>
      <c r="F1207" s="137" t="s">
        <v>1414</v>
      </c>
      <c r="G1207" s="137" t="s">
        <v>1415</v>
      </c>
      <c r="H1207" s="137" t="s">
        <v>6025</v>
      </c>
      <c r="I1207" s="113" t="s">
        <v>292</v>
      </c>
      <c r="J1207" s="108" t="str">
        <f t="shared" si="18"/>
        <v>250905</v>
      </c>
    </row>
    <row r="1208" spans="1:10" ht="15" customHeight="1" x14ac:dyDescent="0.25">
      <c r="A1208" t="str">
        <f>Table1[[#This Row],[District name]]&amp;" "&amp;Table1[[#This Row],[District number]]</f>
        <v>YELLOWSTONE COLLEGE PREPARATORY 101873</v>
      </c>
      <c r="B1208" t="s">
        <v>6026</v>
      </c>
      <c r="C1208" s="1"/>
      <c r="D1208" t="s">
        <v>6027</v>
      </c>
      <c r="E1208" s="2" t="s">
        <v>295</v>
      </c>
      <c r="F1208" s="137" t="s">
        <v>2869</v>
      </c>
      <c r="G1208" s="137" t="s">
        <v>6028</v>
      </c>
      <c r="H1208" s="137" t="s">
        <v>6029</v>
      </c>
      <c r="I1208" s="113" t="s">
        <v>292</v>
      </c>
      <c r="J1208" s="108" t="str">
        <f t="shared" si="18"/>
        <v>101873</v>
      </c>
    </row>
    <row r="1209" spans="1:10" ht="15" customHeight="1" x14ac:dyDescent="0.25">
      <c r="A1209" t="str">
        <f>Table1[[#This Row],[District name]]&amp;" "&amp;Table1[[#This Row],[District number]]</f>
        <v>YES PREP PUBLIC SCHOOLS INC 101845</v>
      </c>
      <c r="B1209" t="s">
        <v>6030</v>
      </c>
      <c r="C1209" s="1"/>
      <c r="D1209" t="s">
        <v>6031</v>
      </c>
      <c r="E1209" s="2" t="s">
        <v>295</v>
      </c>
      <c r="F1209" s="137" t="s">
        <v>6032</v>
      </c>
      <c r="G1209" s="137" t="s">
        <v>6033</v>
      </c>
      <c r="H1209" s="137" t="s">
        <v>6034</v>
      </c>
      <c r="I1209" s="113" t="s">
        <v>292</v>
      </c>
      <c r="J1209" s="108" t="str">
        <f t="shared" si="18"/>
        <v>101845</v>
      </c>
    </row>
    <row r="1210" spans="1:10" x14ac:dyDescent="0.25">
      <c r="A1210" t="str">
        <f>Table1[[#This Row],[District name]]&amp;" "&amp;Table1[[#This Row],[District number]]</f>
        <v>YOAKUM ISD 062903</v>
      </c>
      <c r="B1210" t="s">
        <v>6035</v>
      </c>
      <c r="C1210" s="1"/>
      <c r="D1210" t="s">
        <v>6036</v>
      </c>
      <c r="E1210" s="2" t="s">
        <v>614</v>
      </c>
      <c r="F1210" s="137" t="s">
        <v>6037</v>
      </c>
      <c r="G1210" s="137" t="s">
        <v>6038</v>
      </c>
      <c r="H1210" s="137" t="s">
        <v>6039</v>
      </c>
      <c r="I1210" s="113" t="s">
        <v>292</v>
      </c>
      <c r="J1210" s="108" t="str">
        <f t="shared" si="18"/>
        <v>062903</v>
      </c>
    </row>
    <row r="1211" spans="1:10" x14ac:dyDescent="0.25">
      <c r="A1211" t="str">
        <f>Table1[[#This Row],[District name]]&amp;" "&amp;Table1[[#This Row],[District number]]</f>
        <v>YORKTOWN ISD 062904</v>
      </c>
      <c r="B1211" t="s">
        <v>6040</v>
      </c>
      <c r="C1211" s="1"/>
      <c r="D1211" t="s">
        <v>6041</v>
      </c>
      <c r="E1211" s="2" t="s">
        <v>614</v>
      </c>
      <c r="F1211" s="137" t="s">
        <v>1208</v>
      </c>
      <c r="G1211" s="137" t="s">
        <v>6042</v>
      </c>
      <c r="H1211" s="137" t="s">
        <v>6043</v>
      </c>
      <c r="I1211" s="114" t="s">
        <v>292</v>
      </c>
      <c r="J1211" s="108" t="str">
        <f t="shared" si="18"/>
        <v>062904</v>
      </c>
    </row>
    <row r="1212" spans="1:10" x14ac:dyDescent="0.25">
      <c r="A1212" t="str">
        <f>Table1[[#This Row],[District name]]&amp;" "&amp;Table1[[#This Row],[District number]]</f>
        <v>YSLETA ISD 071905</v>
      </c>
      <c r="B1212" s="139" t="s">
        <v>6044</v>
      </c>
      <c r="C1212" s="3"/>
      <c r="D1212" t="s">
        <v>6045</v>
      </c>
      <c r="E1212" s="4" t="s">
        <v>507</v>
      </c>
      <c r="F1212" s="137" t="s">
        <v>6046</v>
      </c>
      <c r="G1212" s="137" t="s">
        <v>6047</v>
      </c>
      <c r="H1212" s="137" t="s">
        <v>6048</v>
      </c>
      <c r="I1212" s="114" t="s">
        <v>292</v>
      </c>
      <c r="J1212" s="108" t="str">
        <f t="shared" si="18"/>
        <v>071905</v>
      </c>
    </row>
    <row r="1213" spans="1:10" x14ac:dyDescent="0.25">
      <c r="A1213" t="str">
        <f>Table1[[#This Row],[District name]]&amp;" "&amp;Table1[[#This Row],[District number]]</f>
        <v>ZAPATA COUNTY ISD 253901</v>
      </c>
      <c r="B1213" s="3" t="s">
        <v>6049</v>
      </c>
      <c r="C1213" s="3"/>
      <c r="D1213" t="s">
        <v>6050</v>
      </c>
      <c r="E1213" s="4" t="s">
        <v>982</v>
      </c>
      <c r="F1213" s="137" t="s">
        <v>6051</v>
      </c>
      <c r="G1213" s="137" t="s">
        <v>6052</v>
      </c>
      <c r="H1213" s="137" t="s">
        <v>6053</v>
      </c>
      <c r="I1213" s="114" t="s">
        <v>292</v>
      </c>
      <c r="J1213" s="108" t="str">
        <f t="shared" si="18"/>
        <v>253901</v>
      </c>
    </row>
    <row r="1214" spans="1:10" x14ac:dyDescent="0.25">
      <c r="A1214" t="str">
        <f>Table1[[#This Row],[District name]]&amp;" "&amp;Table1[[#This Row],[District number]]</f>
        <v>ZAVALLA ISD 003906</v>
      </c>
      <c r="B1214" s="139" t="s">
        <v>6054</v>
      </c>
      <c r="C1214" s="3"/>
      <c r="D1214" t="s">
        <v>6055</v>
      </c>
      <c r="E1214" s="4" t="s">
        <v>383</v>
      </c>
      <c r="F1214" s="137" t="s">
        <v>6056</v>
      </c>
      <c r="G1214" s="137" t="s">
        <v>3018</v>
      </c>
      <c r="H1214" s="137" t="s">
        <v>6057</v>
      </c>
      <c r="I1214" s="114" t="s">
        <v>292</v>
      </c>
      <c r="J1214" s="108" t="str">
        <f t="shared" si="18"/>
        <v>003906</v>
      </c>
    </row>
    <row r="1215" spans="1:10" x14ac:dyDescent="0.25">
      <c r="A1215" t="str">
        <f>Table1[[#This Row],[District name]]&amp;" "&amp;Table1[[#This Row],[District number]]</f>
        <v>ZEPHYR ISD 025906</v>
      </c>
      <c r="B1215" s="139" t="s">
        <v>6058</v>
      </c>
      <c r="C1215" s="3"/>
      <c r="D1215" t="s">
        <v>6059</v>
      </c>
      <c r="E1215" s="4" t="s">
        <v>650</v>
      </c>
      <c r="F1215" s="137" t="s">
        <v>6060</v>
      </c>
      <c r="G1215" s="137" t="s">
        <v>6061</v>
      </c>
      <c r="H1215" s="137" t="s">
        <v>6062</v>
      </c>
      <c r="I1215" s="113" t="s">
        <v>292</v>
      </c>
      <c r="J1215" s="108" t="str">
        <f t="shared" si="18"/>
        <v>025906</v>
      </c>
    </row>
    <row r="1216" spans="1:10" x14ac:dyDescent="0.25">
      <c r="A1216" t="str">
        <f>Table1[[#This Row],[District name]]&amp;" "&amp;Table1[[#This Row],[District number]]</f>
        <v>TIA Example LEA 000000</v>
      </c>
      <c r="B1216" s="331" t="s">
        <v>6063</v>
      </c>
      <c r="C1216" s="1"/>
      <c r="D1216" s="1" t="s">
        <v>6064</v>
      </c>
      <c r="E1216" s="2">
        <v>0</v>
      </c>
      <c r="F1216" t="s">
        <v>6065</v>
      </c>
      <c r="G1216" t="s">
        <v>6066</v>
      </c>
      <c r="H1216" t="s">
        <v>6067</v>
      </c>
      <c r="I1216" s="331" t="s">
        <v>292</v>
      </c>
      <c r="J1216" s="2" t="str">
        <f>LEFT(B1216,6)</f>
        <v>000000</v>
      </c>
    </row>
    <row r="1217" spans="6:8" x14ac:dyDescent="0.25">
      <c r="F1217" s="137"/>
      <c r="G1217" s="137"/>
      <c r="H1217" s="137"/>
    </row>
  </sheetData>
  <sortState xmlns:xlrd2="http://schemas.microsoft.com/office/spreadsheetml/2017/richdata2" ref="A4:J1211">
    <sortCondition ref="D4:D1211"/>
  </sortState>
  <phoneticPr fontId="10" type="noConversion"/>
  <dataValidations count="1">
    <dataValidation allowBlank="1" showInputMessage="1" sqref="L7" xr:uid="{DCA228BF-B179-4450-9418-F28A7400E1C5}"/>
  </dataValidations>
  <pageMargins left="0.7" right="0.7" top="0.75" bottom="0.75" header="0.3" footer="0.3"/>
  <pageSetup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hotoTags xmlns="55ad0659-6a5d-4092-b991-df82805f26a4" xsi:nil="true"/>
    <TaxCatchAll xmlns="7509388a-dc3d-42e0-ad02-1f88cc25c44c" xsi:nil="true"/>
    <lcf76f155ced4ddcb4097134ff3c332f xmlns="55ad0659-6a5d-4092-b991-df82805f26a4">
      <Terms xmlns="http://schemas.microsoft.com/office/infopath/2007/PartnerControls"/>
    </lcf76f155ced4ddcb4097134ff3c332f>
    <Owner xmlns="55ad0659-6a5d-4092-b991-df82805f26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8CB2DC0153D0408D1CF651F2AD29DF" ma:contentTypeVersion="23" ma:contentTypeDescription="Create a new document." ma:contentTypeScope="" ma:versionID="b6dfcf36bca898e57ad3b88cb9287a24">
  <xsd:schema xmlns:xsd="http://www.w3.org/2001/XMLSchema" xmlns:xs="http://www.w3.org/2001/XMLSchema" xmlns:p="http://schemas.microsoft.com/office/2006/metadata/properties" xmlns:ns2="55ad0659-6a5d-4092-b991-df82805f26a4" xmlns:ns3="4780d0d2-c080-455e-bee8-5b3382ef325a" xmlns:ns4="7509388a-dc3d-42e0-ad02-1f88cc25c44c" targetNamespace="http://schemas.microsoft.com/office/2006/metadata/properties" ma:root="true" ma:fieldsID="be48d3e2447120cf9370ffe958b89901" ns2:_="" ns3:_="" ns4:_="">
    <xsd:import namespace="55ad0659-6a5d-4092-b991-df82805f26a4"/>
    <xsd:import namespace="4780d0d2-c080-455e-bee8-5b3382ef325a"/>
    <xsd:import namespace="7509388a-dc3d-42e0-ad02-1f88cc25c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PhotoTags" minOccurs="0"/>
                <xsd:element ref="ns2:MediaLengthInSeconds" minOccurs="0"/>
                <xsd:element ref="ns4:TaxCatchAll" minOccurs="0"/>
                <xsd:element ref="ns2:lcf76f155ced4ddcb4097134ff3c332f"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d0659-6a5d-4092-b991-df82805f2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hotoTags" ma:index="20" nillable="true" ma:displayName="Photo Tags" ma:format="Dropdown" ma:internalName="PhotoTags">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Owner" ma:index="25" nillable="true" ma:displayName="Owner" ma:description="Name of the person who owns the OP" ma:format="Dropdown" ma:internalName="Own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80d0d2-c080-455e-bee8-5b3382ef32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09388a-dc3d-42e0-ad02-1f88cc25c44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dda7e6e-9532-4eac-be15-fb9b6964c0ff}" ma:internalName="TaxCatchAll" ma:showField="CatchAllData" ma:web="7509388a-dc3d-42e0-ad02-1f88cc25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0FABE5-652F-44C8-B796-9F201170DDEF}">
  <ds:schemaRefs>
    <ds:schemaRef ds:uri="http://schemas.microsoft.com/office/2006/metadata/properties"/>
    <ds:schemaRef ds:uri="http://schemas.microsoft.com/office/infopath/2007/PartnerControls"/>
    <ds:schemaRef ds:uri="55ad0659-6a5d-4092-b991-df82805f26a4"/>
    <ds:schemaRef ds:uri="7509388a-dc3d-42e0-ad02-1f88cc25c44c"/>
  </ds:schemaRefs>
</ds:datastoreItem>
</file>

<file path=customXml/itemProps2.xml><?xml version="1.0" encoding="utf-8"?>
<ds:datastoreItem xmlns:ds="http://schemas.openxmlformats.org/officeDocument/2006/customXml" ds:itemID="{1312909B-FEDF-4D93-9A94-6FF87B173F69}">
  <ds:schemaRefs>
    <ds:schemaRef ds:uri="http://schemas.microsoft.com/sharepoint/v3/contenttype/forms"/>
  </ds:schemaRefs>
</ds:datastoreItem>
</file>

<file path=customXml/itemProps3.xml><?xml version="1.0" encoding="utf-8"?>
<ds:datastoreItem xmlns:ds="http://schemas.openxmlformats.org/officeDocument/2006/customXml" ds:itemID="{11A3BA0E-0F12-4AD3-A374-ADE323431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d0659-6a5d-4092-b991-df82805f26a4"/>
    <ds:schemaRef ds:uri="4780d0d2-c080-455e-bee8-5b3382ef325a"/>
    <ds:schemaRef ds:uri="7509388a-dc3d-42e0-ad02-1f88cc25c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 this Tool</vt:lpstr>
      <vt:lpstr>Allotments</vt:lpstr>
      <vt:lpstr>Benefits Estimator</vt:lpstr>
      <vt:lpstr>Stipend-Based Plan</vt:lpstr>
      <vt:lpstr>Salary-Based Plan</vt:lpstr>
      <vt:lpstr>Planning Notes</vt:lpstr>
      <vt:lpstr>Lookup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Fermanich</dc:creator>
  <cp:keywords/>
  <dc:description/>
  <cp:lastModifiedBy>Richie, Amy</cp:lastModifiedBy>
  <cp:revision/>
  <dcterms:created xsi:type="dcterms:W3CDTF">2021-10-07T16:49:17Z</dcterms:created>
  <dcterms:modified xsi:type="dcterms:W3CDTF">2025-05-02T21:24:05Z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0x0101001B8CB2DC0153D0408D1CF651F2AD29DF</vt:lpwstr>
  </property>
  <property fmtid="{D5CDD505-2E9C-101B-9397-08002B2CF9AE}" pid="3" name="MediaServiceImageTags">
    <vt:lpwstr/>
  </property>
</Properties>
</file>