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18"/>
  <workbookPr codeName="ThisWorkbook" defaultThemeVersion="166925"/>
  <mc:AlternateContent xmlns:mc="http://schemas.openxmlformats.org/markup-compatibility/2006">
    <mc:Choice Requires="x15">
      <x15ac:absPath xmlns:x15ac="http://schemas.microsoft.com/office/spreadsheetml/2010/11/ac" url="https://texasedu.sharepoint.com/sites/ext/sc/Shared Documents/8. Strategic Compensation/Other Resources/ERS Deliverables/1. Strategic Compensation Calculator/"/>
    </mc:Choice>
  </mc:AlternateContent>
  <xr:revisionPtr revIDLastSave="0" documentId="8_{83470DA8-F823-481D-85A4-59A5E313B533}" xr6:coauthVersionLast="47" xr6:coauthVersionMax="47" xr10:uidLastSave="{00000000-0000-0000-0000-000000000000}"/>
  <workbookProtection workbookAlgorithmName="SHA-512" workbookHashValue="NxMbiAsdx4pRp/zwvebXqiTGqdA6xcZjq9ogtYnrfzXAPaJtYx2cU/0sGrKMQCbkjwQCzH94RT+oTWaNqekB9A==" workbookSaltValue="LCt8u/Fp8SNPmGVImVuM+Q==" workbookSpinCount="100000" lockStructure="1"/>
  <bookViews>
    <workbookView xWindow="-28920" yWindow="1695" windowWidth="29040" windowHeight="15840" firstSheet="12" activeTab="12" xr2:uid="{1ACCD404-D86A-43D6-AE06-14D7A8EC204D}"/>
  </bookViews>
  <sheets>
    <sheet name="INSTRUCTIONS" sheetId="15" r:id="rId1"/>
    <sheet name="INPUTS&gt;&gt;" sheetId="21" r:id="rId2"/>
    <sheet name="Basic - Teachers" sheetId="1" r:id="rId3"/>
    <sheet name="Advanced - Teachers" sheetId="20" r:id="rId4"/>
    <sheet name="Basic - Principals and APs" sheetId="28" r:id="rId5"/>
    <sheet name="Advanced - Principals and APs" sheetId="22" r:id="rId6"/>
    <sheet name="Basic Teacher Analysis" sheetId="17" state="hidden" r:id="rId7"/>
    <sheet name="Basic Principal Analysis" sheetId="26" state="hidden" r:id="rId8"/>
    <sheet name="Advanced Teacher Analysis" sheetId="23" state="hidden" r:id="rId9"/>
    <sheet name="Advanced Principal Analysis" sheetId="29" state="hidden" r:id="rId10"/>
    <sheet name="Chart Tables" sheetId="32" state="hidden" r:id="rId11"/>
    <sheet name="Levers Analysis" sheetId="33" state="hidden" r:id="rId12"/>
    <sheet name="Tradeoff Levers" sheetId="30" r:id="rId13"/>
    <sheet name="Results" sheetId="31" r:id="rId14"/>
  </sheets>
  <definedNames>
    <definedName name="_Toc158809937" localSheetId="4">'Basic - Principals and APs'!#REF!</definedName>
    <definedName name="_Toc158809937" localSheetId="2">'Basic - Teachers'!#REF!</definedName>
    <definedName name="_Toc2137510518" localSheetId="4">'Basic - Principals and APs'!#REF!</definedName>
    <definedName name="_Toc2137510518" localSheetId="2">'Basic - Teachers'!$J$2</definedName>
    <definedName name="_Toc517675650" localSheetId="4">'Basic - Principals and APs'!#REF!</definedName>
    <definedName name="_Toc517675650" localSheetId="2">'Basic - Teachers'!#REF!</definedName>
    <definedName name="ChartTable">OFFSET('Chart Tables'!$B$63, 0, 0, COUNTA('Chart Tables'!$B$63:$D$72), 1)</definedName>
    <definedName name="TeacherCurrentComp">OFFSET('Chart Tables'!$C$63, 0, 0, COUNTA('Chart Tables'!$C$63:$C$72), 1)</definedName>
    <definedName name="TeacherEffectivenessLevel">OFFSET('Chart Tables'!$B$63, 0, 0, COUNTA('Chart Tables'!$B$63:$B$72), 1)</definedName>
    <definedName name="TeacherNewComp">OFFSET('Chart Tables'!$D$63, 0, 0, COUNTA('Chart Tables'!$D$63:$D$72), 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83" i="20" l="1"/>
  <c r="J58" i="1"/>
  <c r="Q33" i="30" l="1"/>
  <c r="K18" i="1"/>
  <c r="E14" i="31" l="1"/>
  <c r="C14" i="31"/>
  <c r="J64" i="22"/>
  <c r="J65" i="22"/>
  <c r="J66" i="22"/>
  <c r="J67" i="22"/>
  <c r="J68" i="22"/>
  <c r="J69" i="22"/>
  <c r="J70" i="22"/>
  <c r="J71" i="22"/>
  <c r="J72" i="22"/>
  <c r="J63" i="22"/>
  <c r="J48" i="22"/>
  <c r="J49" i="22"/>
  <c r="J50" i="22"/>
  <c r="J51" i="22"/>
  <c r="J52" i="22"/>
  <c r="J53" i="22"/>
  <c r="J54" i="22"/>
  <c r="J55" i="22"/>
  <c r="J56" i="22"/>
  <c r="J47" i="22"/>
  <c r="F34" i="22"/>
  <c r="E35" i="22"/>
  <c r="E34" i="22"/>
  <c r="D34" i="22"/>
  <c r="C35" i="22"/>
  <c r="C34" i="22"/>
  <c r="E32" i="22"/>
  <c r="F31" i="22"/>
  <c r="E31" i="22"/>
  <c r="C32" i="22"/>
  <c r="D31" i="22"/>
  <c r="C31" i="22"/>
  <c r="F35" i="28"/>
  <c r="E35" i="28"/>
  <c r="D35" i="28"/>
  <c r="C35" i="28"/>
  <c r="F32" i="28"/>
  <c r="E32" i="28"/>
  <c r="D32" i="28"/>
  <c r="C32" i="28"/>
  <c r="F36" i="20"/>
  <c r="F36" i="1"/>
  <c r="D36" i="1"/>
  <c r="N73" i="22" l="1"/>
  <c r="K73" i="22"/>
  <c r="N34" i="28"/>
  <c r="K34" i="28"/>
  <c r="D72" i="32" l="1"/>
  <c r="D71" i="32"/>
  <c r="D70" i="32"/>
  <c r="D69" i="32"/>
  <c r="D68" i="32"/>
  <c r="C72" i="32"/>
  <c r="C71" i="32"/>
  <c r="C70" i="32"/>
  <c r="C69" i="32"/>
  <c r="C68" i="32"/>
  <c r="E284" i="23"/>
  <c r="E285" i="23"/>
  <c r="E286" i="23"/>
  <c r="E287" i="23"/>
  <c r="E288" i="23"/>
  <c r="E289" i="23"/>
  <c r="E290" i="23"/>
  <c r="E291" i="23"/>
  <c r="E292" i="23"/>
  <c r="E293" i="23"/>
  <c r="E294" i="23"/>
  <c r="E295" i="23"/>
  <c r="E296" i="23"/>
  <c r="E297" i="23"/>
  <c r="E298" i="23"/>
  <c r="E299" i="23"/>
  <c r="E300" i="23"/>
  <c r="E301" i="23"/>
  <c r="E302" i="23"/>
  <c r="E303" i="23"/>
  <c r="E304" i="23"/>
  <c r="E305" i="23"/>
  <c r="E306" i="23"/>
  <c r="E307" i="23"/>
  <c r="E308" i="23"/>
  <c r="E309" i="23"/>
  <c r="E310" i="23"/>
  <c r="E311" i="23"/>
  <c r="E312" i="23"/>
  <c r="E313" i="23"/>
  <c r="D284" i="23"/>
  <c r="D285" i="23"/>
  <c r="D286" i="23"/>
  <c r="D287" i="23"/>
  <c r="D288" i="23"/>
  <c r="D289" i="23"/>
  <c r="D290" i="23"/>
  <c r="D291" i="23"/>
  <c r="D292" i="23"/>
  <c r="D293" i="23"/>
  <c r="D294" i="23"/>
  <c r="D295" i="23"/>
  <c r="D296" i="23"/>
  <c r="D297" i="23"/>
  <c r="D298" i="23"/>
  <c r="D299" i="23"/>
  <c r="D300" i="23"/>
  <c r="D301" i="23"/>
  <c r="D302" i="23"/>
  <c r="D303" i="23"/>
  <c r="D304" i="23"/>
  <c r="D305" i="23"/>
  <c r="D306" i="23"/>
  <c r="D307" i="23"/>
  <c r="D308" i="23"/>
  <c r="D309" i="23"/>
  <c r="D310" i="23"/>
  <c r="D311" i="23"/>
  <c r="D312" i="23"/>
  <c r="D313" i="23"/>
  <c r="E283" i="23"/>
  <c r="D283" i="23"/>
  <c r="E314" i="23" l="1"/>
  <c r="D314" i="23"/>
  <c r="J32" i="30" l="1"/>
  <c r="B64" i="32" l="1"/>
  <c r="B65" i="32"/>
  <c r="B66" i="32"/>
  <c r="B67" i="32"/>
  <c r="B68" i="32"/>
  <c r="B69" i="32"/>
  <c r="B70" i="32"/>
  <c r="B71" i="32"/>
  <c r="B72" i="32"/>
  <c r="B63" i="32"/>
  <c r="F35" i="22" a="1"/>
  <c r="F35" i="22" s="1"/>
  <c r="V43" i="31" s="1"/>
  <c r="D35" i="22" a="1"/>
  <c r="D35" i="22" s="1"/>
  <c r="F32" i="22" a="1"/>
  <c r="F32" i="22" s="1"/>
  <c r="D32" i="22" a="1"/>
  <c r="D32" i="22" s="1"/>
  <c r="E36" i="20"/>
  <c r="D36" i="20"/>
  <c r="C36" i="20"/>
  <c r="E36" i="1"/>
  <c r="C36" i="1"/>
  <c r="F34" i="28"/>
  <c r="E34" i="28"/>
  <c r="D34" i="28"/>
  <c r="C34" i="28"/>
  <c r="F31" i="28"/>
  <c r="E31" i="28"/>
  <c r="D31" i="28"/>
  <c r="C31" i="28"/>
  <c r="F35" i="20"/>
  <c r="F34" i="20"/>
  <c r="F33" i="20"/>
  <c r="E35" i="20"/>
  <c r="E34" i="20"/>
  <c r="E33" i="20"/>
  <c r="D35" i="20"/>
  <c r="D34" i="20"/>
  <c r="D33" i="20"/>
  <c r="C35" i="20"/>
  <c r="C34" i="20"/>
  <c r="C33" i="20"/>
  <c r="E30" i="20"/>
  <c r="F35" i="1"/>
  <c r="F34" i="1"/>
  <c r="F33" i="1"/>
  <c r="E35" i="1"/>
  <c r="E34" i="1"/>
  <c r="E33" i="1"/>
  <c r="D35" i="1"/>
  <c r="D34" i="1"/>
  <c r="D33" i="1"/>
  <c r="C35" i="1"/>
  <c r="C34" i="1"/>
  <c r="C33" i="1"/>
  <c r="E30" i="1"/>
  <c r="C30" i="1"/>
  <c r="O29" i="32"/>
  <c r="S29" i="32" s="1"/>
  <c r="O30" i="32"/>
  <c r="S30" i="32" s="1"/>
  <c r="O31" i="32"/>
  <c r="S31" i="32" s="1"/>
  <c r="O32" i="32"/>
  <c r="S32" i="32" s="1"/>
  <c r="O28" i="32"/>
  <c r="S28" i="32" s="1"/>
  <c r="N29" i="32"/>
  <c r="R29" i="32" s="1"/>
  <c r="N30" i="32"/>
  <c r="R30" i="32" s="1"/>
  <c r="N31" i="32"/>
  <c r="R31" i="32" s="1"/>
  <c r="N32" i="32"/>
  <c r="R32" i="32" s="1"/>
  <c r="N28" i="32"/>
  <c r="R28" i="32" s="1"/>
  <c r="M29" i="32"/>
  <c r="Q29" i="32" s="1"/>
  <c r="M30" i="32"/>
  <c r="Q30" i="32" s="1"/>
  <c r="M31" i="32"/>
  <c r="Q31" i="32" s="1"/>
  <c r="M32" i="32"/>
  <c r="Q32" i="32" s="1"/>
  <c r="M28" i="32"/>
  <c r="Q28" i="32" s="1"/>
  <c r="L29" i="32"/>
  <c r="P29" i="32" s="1"/>
  <c r="L30" i="32"/>
  <c r="P30" i="32" s="1"/>
  <c r="L31" i="32"/>
  <c r="P31" i="32" s="1"/>
  <c r="L32" i="32"/>
  <c r="P32" i="32" s="1"/>
  <c r="L28" i="32"/>
  <c r="P28" i="32" s="1"/>
  <c r="K32" i="32"/>
  <c r="K28" i="32"/>
  <c r="K29" i="32"/>
  <c r="K30" i="32"/>
  <c r="K31" i="32"/>
  <c r="F97" i="29"/>
  <c r="F98" i="29"/>
  <c r="F99" i="29"/>
  <c r="F100" i="29"/>
  <c r="F101" i="29"/>
  <c r="F96" i="29"/>
  <c r="E97" i="29"/>
  <c r="E98" i="29"/>
  <c r="E99" i="29"/>
  <c r="E100" i="29"/>
  <c r="E101" i="29"/>
  <c r="E96" i="29"/>
  <c r="D97" i="29"/>
  <c r="D98" i="29"/>
  <c r="D99" i="29"/>
  <c r="D100" i="29"/>
  <c r="D101" i="29"/>
  <c r="D96" i="29"/>
  <c r="C97" i="29"/>
  <c r="C98" i="29"/>
  <c r="C99" i="29"/>
  <c r="C100" i="29"/>
  <c r="C101" i="29"/>
  <c r="C96" i="29"/>
  <c r="F85" i="29"/>
  <c r="F86" i="29"/>
  <c r="F87" i="29"/>
  <c r="F88" i="29"/>
  <c r="F89" i="29"/>
  <c r="F84" i="29"/>
  <c r="E85" i="29"/>
  <c r="E86" i="29"/>
  <c r="E87" i="29"/>
  <c r="E88" i="29"/>
  <c r="E89" i="29"/>
  <c r="E84" i="29"/>
  <c r="D85" i="29"/>
  <c r="D86" i="29"/>
  <c r="D87" i="29"/>
  <c r="D88" i="29"/>
  <c r="D89" i="29"/>
  <c r="D84" i="29"/>
  <c r="C85" i="29"/>
  <c r="C86" i="29"/>
  <c r="C87" i="29"/>
  <c r="C88" i="29"/>
  <c r="C89" i="29"/>
  <c r="C84" i="29"/>
  <c r="F73" i="29"/>
  <c r="F74" i="29"/>
  <c r="F75" i="29"/>
  <c r="F76" i="29"/>
  <c r="F77" i="29"/>
  <c r="F72" i="29"/>
  <c r="E73" i="29"/>
  <c r="E74" i="29"/>
  <c r="E75" i="29"/>
  <c r="E76" i="29"/>
  <c r="E77" i="29"/>
  <c r="E72" i="29"/>
  <c r="D73" i="29"/>
  <c r="D74" i="29"/>
  <c r="D75" i="29"/>
  <c r="D76" i="29"/>
  <c r="D77" i="29"/>
  <c r="D72" i="29"/>
  <c r="C73" i="29"/>
  <c r="C74" i="29"/>
  <c r="C75" i="29"/>
  <c r="C76" i="29"/>
  <c r="C77" i="29"/>
  <c r="C72" i="29"/>
  <c r="F61" i="29"/>
  <c r="F62" i="29"/>
  <c r="F63" i="29"/>
  <c r="F64" i="29"/>
  <c r="F65" i="29"/>
  <c r="F60" i="29"/>
  <c r="E61" i="29"/>
  <c r="E62" i="29"/>
  <c r="E63" i="29"/>
  <c r="E64" i="29"/>
  <c r="E65" i="29"/>
  <c r="E60" i="29"/>
  <c r="D61" i="29"/>
  <c r="D62" i="29"/>
  <c r="D63" i="29"/>
  <c r="D64" i="29"/>
  <c r="D65" i="29"/>
  <c r="D60" i="29"/>
  <c r="C61" i="29"/>
  <c r="C62" i="29"/>
  <c r="C63" i="29"/>
  <c r="C64" i="29"/>
  <c r="C65" i="29"/>
  <c r="C60" i="29"/>
  <c r="F49" i="29"/>
  <c r="F50" i="29"/>
  <c r="F51" i="29"/>
  <c r="F52" i="29"/>
  <c r="F53" i="29"/>
  <c r="F48" i="29"/>
  <c r="E49" i="29"/>
  <c r="E50" i="29"/>
  <c r="E51" i="29"/>
  <c r="E52" i="29"/>
  <c r="E53" i="29"/>
  <c r="E48" i="29"/>
  <c r="D49" i="29"/>
  <c r="D50" i="29"/>
  <c r="D51" i="29"/>
  <c r="D52" i="29"/>
  <c r="D53" i="29"/>
  <c r="D48" i="29"/>
  <c r="C49" i="29"/>
  <c r="C50" i="29"/>
  <c r="C51" i="29"/>
  <c r="C52" i="29"/>
  <c r="C53" i="29"/>
  <c r="C48" i="29"/>
  <c r="F37" i="29"/>
  <c r="F38" i="29"/>
  <c r="F39" i="29"/>
  <c r="F40" i="29"/>
  <c r="F41" i="29"/>
  <c r="F36" i="29"/>
  <c r="E37" i="29"/>
  <c r="E38" i="29"/>
  <c r="E39" i="29"/>
  <c r="E40" i="29"/>
  <c r="E41" i="29"/>
  <c r="E36" i="29"/>
  <c r="D37" i="29"/>
  <c r="D38" i="29"/>
  <c r="D39" i="29"/>
  <c r="D40" i="29"/>
  <c r="D41" i="29"/>
  <c r="D36" i="29"/>
  <c r="C37" i="29"/>
  <c r="M26" i="29" s="1"/>
  <c r="C38" i="29"/>
  <c r="M27" i="29" s="1"/>
  <c r="C39" i="29"/>
  <c r="M30" i="29" s="1"/>
  <c r="C40" i="29"/>
  <c r="M32" i="29" s="1"/>
  <c r="C41" i="29"/>
  <c r="M34" i="29" s="1"/>
  <c r="C36" i="29"/>
  <c r="N137" i="22"/>
  <c r="K137" i="22"/>
  <c r="N57" i="22"/>
  <c r="K57" i="22"/>
  <c r="N41" i="22"/>
  <c r="K41" i="22"/>
  <c r="F31" i="26"/>
  <c r="F32" i="26"/>
  <c r="F33" i="26"/>
  <c r="F34" i="26"/>
  <c r="F35" i="26"/>
  <c r="F30" i="26"/>
  <c r="E31" i="26"/>
  <c r="E32" i="26"/>
  <c r="E33" i="26"/>
  <c r="E34" i="26"/>
  <c r="E35" i="26"/>
  <c r="E30" i="26"/>
  <c r="D27" i="26"/>
  <c r="D28" i="26"/>
  <c r="D29" i="26"/>
  <c r="D30" i="26"/>
  <c r="D31" i="26"/>
  <c r="D32" i="26"/>
  <c r="D33" i="26"/>
  <c r="D34" i="26"/>
  <c r="D35" i="26"/>
  <c r="D26" i="26"/>
  <c r="C35" i="26"/>
  <c r="C31" i="26"/>
  <c r="C32" i="26"/>
  <c r="C33" i="26"/>
  <c r="C34" i="26"/>
  <c r="C30" i="26"/>
  <c r="F19" i="26"/>
  <c r="F20" i="26"/>
  <c r="F21" i="26"/>
  <c r="F22" i="26"/>
  <c r="F23" i="26"/>
  <c r="E19" i="26"/>
  <c r="E20" i="26"/>
  <c r="E21" i="26"/>
  <c r="E22" i="26"/>
  <c r="E23" i="26"/>
  <c r="C19" i="26"/>
  <c r="M19" i="26" s="1"/>
  <c r="C20" i="26"/>
  <c r="M22" i="26" s="1"/>
  <c r="C21" i="26"/>
  <c r="M23" i="26" s="1"/>
  <c r="C22" i="26"/>
  <c r="M25" i="26" s="1"/>
  <c r="C23" i="26"/>
  <c r="M28" i="26" s="1"/>
  <c r="C18" i="26"/>
  <c r="D19" i="26"/>
  <c r="D20" i="26"/>
  <c r="D21" i="26"/>
  <c r="D22" i="26"/>
  <c r="D23" i="26"/>
  <c r="F18" i="26"/>
  <c r="E18" i="26"/>
  <c r="D18" i="26"/>
  <c r="M140" i="29" l="1"/>
  <c r="M48" i="26"/>
  <c r="M41" i="26"/>
  <c r="M42" i="26"/>
  <c r="M24" i="26"/>
  <c r="M45" i="26"/>
  <c r="M49" i="26"/>
  <c r="M50" i="26"/>
  <c r="M46" i="26"/>
  <c r="M43" i="26"/>
  <c r="M135" i="29"/>
  <c r="M44" i="26"/>
  <c r="M136" i="29"/>
  <c r="M47" i="26"/>
  <c r="M118" i="29"/>
  <c r="M137" i="29"/>
  <c r="M138" i="29"/>
  <c r="M139" i="29"/>
  <c r="M141" i="29"/>
  <c r="M142" i="29"/>
  <c r="M143" i="29"/>
  <c r="M144" i="29"/>
  <c r="M119" i="29"/>
  <c r="M112" i="29"/>
  <c r="M113" i="29"/>
  <c r="M117" i="29"/>
  <c r="M114" i="29"/>
  <c r="M116" i="29"/>
  <c r="M115" i="29"/>
  <c r="M120" i="29"/>
  <c r="M121" i="29"/>
  <c r="M94" i="29"/>
  <c r="M91" i="29"/>
  <c r="M92" i="29"/>
  <c r="M93" i="29"/>
  <c r="M96" i="29"/>
  <c r="M95" i="29"/>
  <c r="M97" i="29"/>
  <c r="M98" i="29"/>
  <c r="M99" i="29"/>
  <c r="M100" i="29"/>
  <c r="M53" i="29"/>
  <c r="M69" i="29"/>
  <c r="M56" i="29"/>
  <c r="M70" i="29"/>
  <c r="M54" i="29"/>
  <c r="M71" i="29"/>
  <c r="M72" i="29"/>
  <c r="M74" i="29"/>
  <c r="M73" i="29"/>
  <c r="M75" i="29"/>
  <c r="M76" i="29"/>
  <c r="M77" i="29"/>
  <c r="M78" i="29"/>
  <c r="M48" i="29"/>
  <c r="M49" i="29"/>
  <c r="M50" i="29"/>
  <c r="M47" i="29"/>
  <c r="M51" i="29"/>
  <c r="M52" i="29"/>
  <c r="M55" i="29"/>
  <c r="M28" i="29"/>
  <c r="M25" i="29"/>
  <c r="M29" i="29"/>
  <c r="M31" i="29"/>
  <c r="M33" i="29"/>
  <c r="M20" i="26"/>
  <c r="M27" i="26"/>
  <c r="M21" i="26"/>
  <c r="M26" i="26"/>
  <c r="K24" i="32"/>
  <c r="K25" i="32"/>
  <c r="K26" i="32"/>
  <c r="K27" i="32"/>
  <c r="K23" i="32"/>
  <c r="C76" i="32"/>
  <c r="D76" i="32"/>
  <c r="C77" i="32"/>
  <c r="D77" i="32"/>
  <c r="C78" i="32"/>
  <c r="D78" i="32"/>
  <c r="C79" i="32"/>
  <c r="D79" i="32"/>
  <c r="C80" i="32"/>
  <c r="D80" i="32"/>
  <c r="C81" i="32"/>
  <c r="D81" i="32"/>
  <c r="C82" i="32"/>
  <c r="D82" i="32"/>
  <c r="C83" i="32"/>
  <c r="D83" i="32"/>
  <c r="C84" i="32"/>
  <c r="D84" i="32"/>
  <c r="D75" i="32"/>
  <c r="C75" i="32"/>
  <c r="B76" i="32"/>
  <c r="B77" i="32"/>
  <c r="B78" i="32"/>
  <c r="B79" i="32"/>
  <c r="B80" i="32"/>
  <c r="B81" i="32"/>
  <c r="B82" i="32"/>
  <c r="B83" i="32"/>
  <c r="B84" i="32"/>
  <c r="B75" i="32"/>
  <c r="F58" i="23"/>
  <c r="F59" i="23"/>
  <c r="F60" i="23"/>
  <c r="F61" i="23"/>
  <c r="F62" i="23"/>
  <c r="F57" i="23"/>
  <c r="F37" i="17"/>
  <c r="F38" i="17"/>
  <c r="F39" i="17"/>
  <c r="F40" i="17"/>
  <c r="F41" i="17"/>
  <c r="E37" i="17"/>
  <c r="E38" i="17"/>
  <c r="E39" i="17"/>
  <c r="E40" i="17"/>
  <c r="E41" i="17"/>
  <c r="F36" i="17"/>
  <c r="E36" i="17"/>
  <c r="D37" i="17"/>
  <c r="D38" i="17"/>
  <c r="D39" i="17"/>
  <c r="D40" i="17"/>
  <c r="D41" i="17"/>
  <c r="D36" i="17"/>
  <c r="C37" i="17"/>
  <c r="L76" i="17" s="1"/>
  <c r="C38" i="17"/>
  <c r="L79" i="17" s="1"/>
  <c r="C39" i="17"/>
  <c r="L80" i="17" s="1"/>
  <c r="C40" i="17"/>
  <c r="L83" i="17" s="1"/>
  <c r="C41" i="17"/>
  <c r="L85" i="17" s="1"/>
  <c r="C36" i="17"/>
  <c r="K54" i="1"/>
  <c r="E59" i="23"/>
  <c r="E60" i="23"/>
  <c r="E61" i="23"/>
  <c r="E62" i="23"/>
  <c r="E58" i="23"/>
  <c r="D59" i="23"/>
  <c r="D60" i="23"/>
  <c r="D61" i="23"/>
  <c r="D62" i="23"/>
  <c r="D58" i="23"/>
  <c r="C59" i="23"/>
  <c r="O59" i="23" s="1"/>
  <c r="C58" i="23"/>
  <c r="O57" i="23" s="1"/>
  <c r="C57" i="23"/>
  <c r="C56" i="23"/>
  <c r="C55" i="23"/>
  <c r="C62" i="23"/>
  <c r="O65" i="23" s="1"/>
  <c r="C61" i="23"/>
  <c r="O63" i="23" s="1"/>
  <c r="C60" i="23"/>
  <c r="O61" i="23" s="1"/>
  <c r="K78" i="20"/>
  <c r="P6" i="33"/>
  <c r="P7" i="33" s="1"/>
  <c r="P8" i="33" s="1"/>
  <c r="P9" i="33" s="1"/>
  <c r="P10" i="33" s="1"/>
  <c r="P11" i="33" s="1"/>
  <c r="P12" i="33" s="1"/>
  <c r="P13" i="33" s="1"/>
  <c r="P14" i="33" s="1"/>
  <c r="P15" i="33" s="1"/>
  <c r="P16" i="33" s="1"/>
  <c r="P17" i="33" s="1"/>
  <c r="P18" i="33" s="1"/>
  <c r="P19" i="33" s="1"/>
  <c r="P20" i="33" s="1"/>
  <c r="P21" i="33" s="1"/>
  <c r="P22" i="33" s="1"/>
  <c r="P23" i="33" s="1"/>
  <c r="P24" i="33" s="1"/>
  <c r="P25" i="33" s="1"/>
  <c r="P26" i="33" s="1"/>
  <c r="P27" i="33" s="1"/>
  <c r="P28" i="33" s="1"/>
  <c r="P29" i="33" s="1"/>
  <c r="P30" i="33" s="1"/>
  <c r="P31" i="33" s="1"/>
  <c r="P32" i="33" s="1"/>
  <c r="P33" i="33" s="1"/>
  <c r="P34" i="33" s="1"/>
  <c r="P35" i="33" s="1"/>
  <c r="P36" i="33" s="1"/>
  <c r="P37" i="33" s="1"/>
  <c r="P38" i="33" s="1"/>
  <c r="P39" i="33" s="1"/>
  <c r="P40" i="33" s="1"/>
  <c r="P41" i="33" s="1"/>
  <c r="P42" i="33" s="1"/>
  <c r="P43" i="33" s="1"/>
  <c r="P44" i="33" s="1"/>
  <c r="P45" i="33" s="1"/>
  <c r="P46" i="33" s="1"/>
  <c r="P47" i="33" s="1"/>
  <c r="P48" i="33" s="1"/>
  <c r="P49" i="33" s="1"/>
  <c r="P50" i="33" s="1"/>
  <c r="P51" i="33" s="1"/>
  <c r="P52" i="33" s="1"/>
  <c r="P53" i="33" s="1"/>
  <c r="P54" i="33" s="1"/>
  <c r="P55" i="33" s="1"/>
  <c r="P56" i="33" s="1"/>
  <c r="P57" i="33" s="1"/>
  <c r="P58" i="33" s="1"/>
  <c r="P59" i="33" s="1"/>
  <c r="P60" i="33" s="1"/>
  <c r="P61" i="33" s="1"/>
  <c r="P62" i="33" s="1"/>
  <c r="P63" i="33" s="1"/>
  <c r="P64" i="33" s="1"/>
  <c r="P65" i="33" s="1"/>
  <c r="P66" i="33" s="1"/>
  <c r="P67" i="33" s="1"/>
  <c r="P68" i="33" s="1"/>
  <c r="P69" i="33" s="1"/>
  <c r="P70" i="33" s="1"/>
  <c r="P71" i="33" s="1"/>
  <c r="P72" i="33" s="1"/>
  <c r="P73" i="33" s="1"/>
  <c r="P74" i="33" s="1"/>
  <c r="P75" i="33" s="1"/>
  <c r="P76" i="33" s="1"/>
  <c r="P77" i="33" s="1"/>
  <c r="P78" i="33" s="1"/>
  <c r="P79" i="33" s="1"/>
  <c r="P80" i="33" s="1"/>
  <c r="P81" i="33" s="1"/>
  <c r="P82" i="33" s="1"/>
  <c r="P83" i="33" s="1"/>
  <c r="P84" i="33" s="1"/>
  <c r="P85" i="33" s="1"/>
  <c r="P86" i="33" s="1"/>
  <c r="P87" i="33" s="1"/>
  <c r="P88" i="33" s="1"/>
  <c r="P89" i="33" s="1"/>
  <c r="P90" i="33" s="1"/>
  <c r="P91" i="33" s="1"/>
  <c r="P92" i="33" s="1"/>
  <c r="P93" i="33" s="1"/>
  <c r="P94" i="33" s="1"/>
  <c r="P95" i="33" s="1"/>
  <c r="P96" i="33" s="1"/>
  <c r="P97" i="33" s="1"/>
  <c r="P98" i="33" s="1"/>
  <c r="P99" i="33" s="1"/>
  <c r="P100" i="33" s="1"/>
  <c r="P101" i="33" s="1"/>
  <c r="P102" i="33" s="1"/>
  <c r="P103" i="33" s="1"/>
  <c r="P104" i="33" s="1"/>
  <c r="P5" i="33"/>
  <c r="M41" i="30"/>
  <c r="G95" i="32" l="1"/>
  <c r="G96" i="32"/>
  <c r="G97" i="32"/>
  <c r="G91" i="32"/>
  <c r="G90" i="32"/>
  <c r="G89" i="32"/>
  <c r="E97" i="32"/>
  <c r="G102" i="32"/>
  <c r="G103" i="32"/>
  <c r="G104" i="32" s="1"/>
  <c r="G105" i="32" s="1"/>
  <c r="G106" i="32" s="1"/>
  <c r="G107" i="32" s="1"/>
  <c r="G108" i="32" s="1"/>
  <c r="G109" i="32" s="1"/>
  <c r="G110" i="32" s="1"/>
  <c r="G111" i="32" s="1"/>
  <c r="G112" i="32" s="1"/>
  <c r="G113" i="32" s="1"/>
  <c r="G114" i="32" s="1"/>
  <c r="G115" i="32" s="1"/>
  <c r="G116" i="32" s="1"/>
  <c r="G117" i="32" s="1"/>
  <c r="G118" i="32" s="1"/>
  <c r="G119" i="32" s="1"/>
  <c r="E98" i="32"/>
  <c r="E99" i="32" s="1"/>
  <c r="E100" i="32" s="1"/>
  <c r="E101" i="32" s="1"/>
  <c r="E102" i="32" s="1"/>
  <c r="E103" i="32" s="1"/>
  <c r="E104" i="32" s="1"/>
  <c r="E105" i="32" s="1"/>
  <c r="E106" i="32" s="1"/>
  <c r="E107" i="32" s="1"/>
  <c r="E108" i="32" s="1"/>
  <c r="E109" i="32" s="1"/>
  <c r="E110" i="32" s="1"/>
  <c r="E111" i="32" s="1"/>
  <c r="E112" i="32" s="1"/>
  <c r="E113" i="32" s="1"/>
  <c r="E114" i="32" s="1"/>
  <c r="E115" i="32" s="1"/>
  <c r="E116" i="32" s="1"/>
  <c r="E117" i="32" s="1"/>
  <c r="E118" i="32" s="1"/>
  <c r="E119" i="32" s="1"/>
  <c r="G101" i="32"/>
  <c r="G92" i="32"/>
  <c r="G94" i="32"/>
  <c r="G93" i="32"/>
  <c r="G99" i="32"/>
  <c r="G98" i="32"/>
  <c r="G100" i="32"/>
  <c r="E95" i="32"/>
  <c r="E96" i="32"/>
  <c r="E89" i="32"/>
  <c r="E90" i="32"/>
  <c r="E94" i="32"/>
  <c r="E93" i="32"/>
  <c r="E91" i="32"/>
  <c r="E92" i="32"/>
  <c r="L82" i="17"/>
  <c r="L81" i="17"/>
  <c r="O64" i="23"/>
  <c r="O56" i="23"/>
  <c r="L77" i="17"/>
  <c r="L78" i="17"/>
  <c r="L84" i="17"/>
  <c r="O58" i="23"/>
  <c r="O60" i="23"/>
  <c r="O62" i="23"/>
  <c r="G81" i="23" l="1"/>
  <c r="G82" i="23"/>
  <c r="G83" i="23"/>
  <c r="G84" i="23"/>
  <c r="G80" i="23"/>
  <c r="F81" i="23"/>
  <c r="F82" i="23"/>
  <c r="F83" i="23"/>
  <c r="F84" i="23"/>
  <c r="F80" i="23"/>
  <c r="E81" i="23"/>
  <c r="E82" i="23"/>
  <c r="E83" i="23"/>
  <c r="E84" i="23"/>
  <c r="E80" i="23"/>
  <c r="D81" i="23"/>
  <c r="D82" i="23"/>
  <c r="D83" i="23"/>
  <c r="D84" i="23"/>
  <c r="D80" i="23"/>
  <c r="C81" i="23"/>
  <c r="C82" i="23"/>
  <c r="C83" i="23"/>
  <c r="C84" i="23"/>
  <c r="C80" i="23"/>
  <c r="G52" i="17"/>
  <c r="G53" i="17"/>
  <c r="G54" i="17"/>
  <c r="G55" i="17"/>
  <c r="G51" i="17"/>
  <c r="F52" i="17"/>
  <c r="F53" i="17"/>
  <c r="F54" i="17"/>
  <c r="F55" i="17"/>
  <c r="F51" i="17"/>
  <c r="E52" i="17"/>
  <c r="E53" i="17"/>
  <c r="E54" i="17"/>
  <c r="E55" i="17"/>
  <c r="E51" i="17"/>
  <c r="D52" i="17"/>
  <c r="D53" i="17"/>
  <c r="D54" i="17"/>
  <c r="D55" i="17"/>
  <c r="D51" i="17"/>
  <c r="C55" i="17"/>
  <c r="C52" i="17"/>
  <c r="C53" i="17"/>
  <c r="C54" i="17"/>
  <c r="C51" i="17"/>
  <c r="R34" i="30"/>
  <c r="C37" i="33" s="1"/>
  <c r="R35" i="30"/>
  <c r="C38" i="33" s="1"/>
  <c r="R36" i="30"/>
  <c r="C39" i="33" s="1"/>
  <c r="R37" i="30"/>
  <c r="C40" i="33" s="1"/>
  <c r="R33" i="30"/>
  <c r="C36" i="33" s="1"/>
  <c r="Q34" i="30"/>
  <c r="B37" i="33" s="1"/>
  <c r="Q35" i="30"/>
  <c r="B38" i="33" s="1"/>
  <c r="Q36" i="30"/>
  <c r="B39" i="33" s="1"/>
  <c r="Q37" i="30"/>
  <c r="B40" i="33" s="1"/>
  <c r="B36" i="33"/>
  <c r="E37" i="33"/>
  <c r="E38" i="33"/>
  <c r="E39" i="33"/>
  <c r="E40" i="33"/>
  <c r="E36" i="33"/>
  <c r="V45" i="20"/>
  <c r="S45" i="20"/>
  <c r="K25" i="1"/>
  <c r="L21" i="20"/>
  <c r="C30" i="20" s="1"/>
  <c r="F24" i="29"/>
  <c r="F23" i="29"/>
  <c r="F21" i="29"/>
  <c r="F20" i="29"/>
  <c r="F18" i="29"/>
  <c r="F17" i="29"/>
  <c r="D22" i="33"/>
  <c r="D21" i="33"/>
  <c r="C22" i="33"/>
  <c r="C21" i="33"/>
  <c r="AG20" i="20"/>
  <c r="AG19" i="20"/>
  <c r="F47" i="23"/>
  <c r="F46" i="23"/>
  <c r="E62" i="17"/>
  <c r="E60" i="17"/>
  <c r="F25" i="17"/>
  <c r="N42" i="17" s="1"/>
  <c r="F24" i="17"/>
  <c r="N43" i="17" s="1"/>
  <c r="E25" i="17"/>
  <c r="E24" i="17"/>
  <c r="D25" i="17"/>
  <c r="D24" i="17"/>
  <c r="D23" i="17"/>
  <c r="D20" i="17"/>
  <c r="D19" i="17"/>
  <c r="D18" i="17"/>
  <c r="D17" i="17"/>
  <c r="D16" i="17"/>
  <c r="D14" i="17"/>
  <c r="D13" i="17"/>
  <c r="D12" i="17"/>
  <c r="D11" i="17"/>
  <c r="D8" i="17"/>
  <c r="D7" i="17"/>
  <c r="D6" i="17"/>
  <c r="M55" i="17" l="1"/>
  <c r="M54" i="17"/>
  <c r="M58" i="17"/>
  <c r="M56" i="17"/>
  <c r="P33" i="23"/>
  <c r="P35" i="23"/>
  <c r="P34" i="23"/>
  <c r="Q37" i="23"/>
  <c r="P37" i="23"/>
  <c r="Q33" i="23"/>
  <c r="Q34" i="23"/>
  <c r="P36" i="23"/>
  <c r="Q36" i="23"/>
  <c r="Q35" i="23"/>
  <c r="M21" i="30"/>
  <c r="M57" i="17"/>
  <c r="N55" i="17"/>
  <c r="N54" i="17"/>
  <c r="N58" i="17"/>
  <c r="N56" i="17"/>
  <c r="N57" i="17"/>
  <c r="P38" i="23" l="1"/>
  <c r="C20" i="20" s="1"/>
  <c r="M59" i="17"/>
  <c r="C20" i="1" s="1"/>
  <c r="Q38" i="23"/>
  <c r="N59" i="17"/>
  <c r="E20" i="1" s="1"/>
  <c r="C15" i="32" l="1"/>
  <c r="C32" i="31" s="1"/>
  <c r="E20" i="20"/>
  <c r="D15" i="32" s="1"/>
  <c r="E32" i="31" s="1"/>
  <c r="D28" i="33"/>
  <c r="D27" i="33"/>
  <c r="D26" i="33"/>
  <c r="C28" i="33"/>
  <c r="C27" i="33"/>
  <c r="C26" i="33"/>
  <c r="D16" i="33"/>
  <c r="D15" i="33"/>
  <c r="D14" i="33"/>
  <c r="C16" i="33"/>
  <c r="C15" i="33"/>
  <c r="C14" i="33"/>
  <c r="C10" i="33"/>
  <c r="C9" i="33"/>
  <c r="K13" i="33" s="1"/>
  <c r="C8" i="33"/>
  <c r="R28" i="30"/>
  <c r="AB11" i="30"/>
  <c r="AB13" i="30"/>
  <c r="AB14" i="30"/>
  <c r="AB15" i="30"/>
  <c r="AB16" i="30"/>
  <c r="AB17" i="30"/>
  <c r="AB18" i="30"/>
  <c r="AB19" i="30"/>
  <c r="AB12" i="30"/>
  <c r="V40" i="31"/>
  <c r="E113" i="29"/>
  <c r="E112" i="29"/>
  <c r="E109" i="29"/>
  <c r="E108" i="29"/>
  <c r="E105" i="29"/>
  <c r="E104" i="29"/>
  <c r="E39" i="26"/>
  <c r="E38" i="26"/>
  <c r="E77" i="23"/>
  <c r="E75" i="23"/>
  <c r="E73" i="23"/>
  <c r="E71" i="23"/>
  <c r="E69" i="23"/>
  <c r="E76" i="23"/>
  <c r="E74" i="23"/>
  <c r="E72" i="23"/>
  <c r="E70" i="23"/>
  <c r="E68" i="23"/>
  <c r="D77" i="23"/>
  <c r="D75" i="23"/>
  <c r="D73" i="23"/>
  <c r="D71" i="23"/>
  <c r="D69" i="23"/>
  <c r="D76" i="23"/>
  <c r="D74" i="23"/>
  <c r="D72" i="23"/>
  <c r="D70" i="23"/>
  <c r="D68" i="23"/>
  <c r="D47" i="31"/>
  <c r="C8" i="31" s="1"/>
  <c r="F47" i="31"/>
  <c r="E8" i="31" s="1"/>
  <c r="E45" i="31"/>
  <c r="E44" i="31"/>
  <c r="E47" i="31"/>
  <c r="C47" i="31"/>
  <c r="D132" i="23"/>
  <c r="D133" i="23"/>
  <c r="D134" i="23"/>
  <c r="D135" i="23"/>
  <c r="D136" i="23"/>
  <c r="D137" i="23"/>
  <c r="D138" i="23"/>
  <c r="D139" i="23"/>
  <c r="D140" i="23"/>
  <c r="D141" i="23"/>
  <c r="D142" i="23"/>
  <c r="D143" i="23"/>
  <c r="D144" i="23"/>
  <c r="D145" i="23"/>
  <c r="D146" i="23"/>
  <c r="D147" i="23"/>
  <c r="D148" i="23"/>
  <c r="D149" i="23"/>
  <c r="D150" i="23"/>
  <c r="D151" i="23"/>
  <c r="D152" i="23"/>
  <c r="D153" i="23"/>
  <c r="D154" i="23"/>
  <c r="D155" i="23"/>
  <c r="D156" i="23"/>
  <c r="D157" i="23"/>
  <c r="D158" i="23"/>
  <c r="D159" i="23"/>
  <c r="D160" i="23"/>
  <c r="D161" i="23"/>
  <c r="D131" i="23"/>
  <c r="T44" i="20"/>
  <c r="E132" i="23"/>
  <c r="E133" i="23"/>
  <c r="E134" i="23"/>
  <c r="E135" i="23"/>
  <c r="E136" i="23"/>
  <c r="E137" i="23"/>
  <c r="E138" i="23"/>
  <c r="E139" i="23"/>
  <c r="E140" i="23"/>
  <c r="E141" i="23"/>
  <c r="E142" i="23"/>
  <c r="E143" i="23"/>
  <c r="E144" i="23"/>
  <c r="E145" i="23"/>
  <c r="E146" i="23"/>
  <c r="E147" i="23"/>
  <c r="E148" i="23"/>
  <c r="E149" i="23"/>
  <c r="E150" i="23"/>
  <c r="E151" i="23"/>
  <c r="E152" i="23"/>
  <c r="E153" i="23"/>
  <c r="E154" i="23"/>
  <c r="E155" i="23"/>
  <c r="E156" i="23"/>
  <c r="E157" i="23"/>
  <c r="E158" i="23"/>
  <c r="E159" i="23"/>
  <c r="E160" i="23"/>
  <c r="E161" i="23"/>
  <c r="E131" i="23"/>
  <c r="W44" i="20"/>
  <c r="K14" i="33" l="1"/>
  <c r="K15" i="33" s="1"/>
  <c r="L6" i="33"/>
  <c r="L7" i="33" s="1"/>
  <c r="L8" i="33" s="1"/>
  <c r="L13" i="33"/>
  <c r="L14" i="33" s="1"/>
  <c r="L15" i="33" s="1"/>
  <c r="J6" i="33"/>
  <c r="J7" i="33" s="1"/>
  <c r="J8" i="33" s="1"/>
  <c r="S28" i="30" s="1"/>
  <c r="T42" i="31"/>
  <c r="U42" i="31"/>
  <c r="V42" i="31"/>
  <c r="S39" i="31"/>
  <c r="V39" i="31"/>
  <c r="U39" i="31"/>
  <c r="U8" i="31"/>
  <c r="S42" i="31"/>
  <c r="T39" i="31"/>
  <c r="S40" i="31"/>
  <c r="T40" i="31"/>
  <c r="T43" i="31"/>
  <c r="S43" i="31"/>
  <c r="U40" i="31"/>
  <c r="U43" i="31"/>
  <c r="K6" i="33"/>
  <c r="K7" i="33" s="1"/>
  <c r="K8" i="33" s="1"/>
  <c r="C45" i="31"/>
  <c r="F44" i="31"/>
  <c r="E11" i="31" s="1"/>
  <c r="C44" i="31"/>
  <c r="D46" i="31"/>
  <c r="E46" i="31"/>
  <c r="F46" i="31"/>
  <c r="C46" i="31"/>
  <c r="D45" i="31"/>
  <c r="F45" i="31"/>
  <c r="D44" i="31"/>
  <c r="C11" i="31" s="1"/>
  <c r="K7" i="28"/>
  <c r="L7" i="28" s="1"/>
  <c r="D9" i="26"/>
  <c r="D130" i="29"/>
  <c r="E128" i="29"/>
  <c r="D128" i="29"/>
  <c r="E127" i="29"/>
  <c r="D127" i="29"/>
  <c r="E126" i="29"/>
  <c r="D126" i="29"/>
  <c r="E123" i="29"/>
  <c r="D123" i="29"/>
  <c r="E122" i="29"/>
  <c r="D122" i="29"/>
  <c r="E121" i="29"/>
  <c r="D121" i="29"/>
  <c r="E118" i="29"/>
  <c r="D118" i="29"/>
  <c r="E117" i="29"/>
  <c r="D117" i="29"/>
  <c r="E116" i="29"/>
  <c r="D116" i="29"/>
  <c r="D93" i="29"/>
  <c r="D44" i="29"/>
  <c r="G113" i="29"/>
  <c r="G112" i="29"/>
  <c r="G109" i="29"/>
  <c r="G108" i="29"/>
  <c r="G105" i="29"/>
  <c r="G104" i="29"/>
  <c r="F113" i="29"/>
  <c r="F112" i="29"/>
  <c r="D113" i="29"/>
  <c r="D112" i="29"/>
  <c r="F109" i="29"/>
  <c r="F108" i="29"/>
  <c r="D109" i="29"/>
  <c r="D108" i="29"/>
  <c r="F105" i="29"/>
  <c r="F104" i="29"/>
  <c r="D105" i="29"/>
  <c r="D104" i="29"/>
  <c r="F95" i="29"/>
  <c r="F94" i="29"/>
  <c r="F93" i="29"/>
  <c r="E95" i="29"/>
  <c r="E94" i="29"/>
  <c r="E93" i="29"/>
  <c r="D95" i="29"/>
  <c r="D94" i="29"/>
  <c r="D92" i="29"/>
  <c r="C95" i="29"/>
  <c r="C94" i="29"/>
  <c r="C93" i="29"/>
  <c r="C92" i="29"/>
  <c r="F83" i="29"/>
  <c r="F82" i="29"/>
  <c r="F81" i="29"/>
  <c r="F59" i="29"/>
  <c r="F58" i="29"/>
  <c r="F57" i="29"/>
  <c r="E83" i="29"/>
  <c r="E82" i="29"/>
  <c r="E81" i="29"/>
  <c r="D59" i="29"/>
  <c r="D58" i="29"/>
  <c r="D57" i="29"/>
  <c r="D56" i="29"/>
  <c r="D83" i="29"/>
  <c r="D82" i="29"/>
  <c r="D81" i="29"/>
  <c r="D80" i="29"/>
  <c r="C83" i="29"/>
  <c r="C82" i="29"/>
  <c r="C81" i="29"/>
  <c r="C80" i="29"/>
  <c r="F71" i="29"/>
  <c r="F70" i="29"/>
  <c r="F69" i="29"/>
  <c r="E71" i="29"/>
  <c r="E70" i="29"/>
  <c r="E69" i="29"/>
  <c r="D71" i="29"/>
  <c r="D70" i="29"/>
  <c r="D69" i="29"/>
  <c r="D68" i="29"/>
  <c r="C71" i="29"/>
  <c r="C70" i="29"/>
  <c r="C69" i="29"/>
  <c r="C68" i="29"/>
  <c r="E59" i="29"/>
  <c r="E58" i="29"/>
  <c r="E57" i="29"/>
  <c r="C59" i="29"/>
  <c r="C58" i="29"/>
  <c r="C57" i="29"/>
  <c r="C56" i="29"/>
  <c r="F47" i="29"/>
  <c r="F46" i="29"/>
  <c r="F45" i="29"/>
  <c r="E47" i="29"/>
  <c r="E46" i="29"/>
  <c r="E45" i="29"/>
  <c r="D47" i="29"/>
  <c r="D46" i="29"/>
  <c r="D45" i="29"/>
  <c r="F35" i="29"/>
  <c r="F34" i="29"/>
  <c r="F33" i="29"/>
  <c r="E35" i="29"/>
  <c r="E34" i="29"/>
  <c r="E33" i="29"/>
  <c r="D35" i="29"/>
  <c r="D32" i="29"/>
  <c r="D33" i="29"/>
  <c r="D34" i="29"/>
  <c r="C47" i="29"/>
  <c r="C46" i="29"/>
  <c r="C45" i="29"/>
  <c r="C44" i="29"/>
  <c r="M111" i="29"/>
  <c r="C35" i="29"/>
  <c r="M132" i="29" s="1"/>
  <c r="C34" i="29"/>
  <c r="M64" i="29" s="1"/>
  <c r="C33" i="29"/>
  <c r="M128" i="29" s="1"/>
  <c r="C32" i="29"/>
  <c r="D29" i="29"/>
  <c r="D28" i="29"/>
  <c r="D27" i="29"/>
  <c r="E24" i="29"/>
  <c r="E23" i="29"/>
  <c r="E21" i="29"/>
  <c r="E20" i="29"/>
  <c r="E18" i="29"/>
  <c r="E17" i="29"/>
  <c r="D12" i="29"/>
  <c r="D11" i="29"/>
  <c r="D9" i="29"/>
  <c r="D8" i="29"/>
  <c r="D6" i="29"/>
  <c r="D5" i="29"/>
  <c r="D93" i="23"/>
  <c r="D127" i="23"/>
  <c r="D126" i="23"/>
  <c r="D125" i="23"/>
  <c r="D124" i="23"/>
  <c r="D123" i="23"/>
  <c r="D122" i="23"/>
  <c r="D121" i="23"/>
  <c r="D120" i="23"/>
  <c r="D119" i="23"/>
  <c r="D118" i="23"/>
  <c r="D117" i="23"/>
  <c r="D116" i="23"/>
  <c r="D115" i="23"/>
  <c r="D114" i="23"/>
  <c r="D113" i="23"/>
  <c r="D112" i="23"/>
  <c r="D111" i="23"/>
  <c r="D110" i="23"/>
  <c r="D109" i="23"/>
  <c r="D108" i="23"/>
  <c r="D107" i="23"/>
  <c r="D106" i="23"/>
  <c r="D105" i="23"/>
  <c r="D104" i="23"/>
  <c r="D103" i="23"/>
  <c r="D102" i="23"/>
  <c r="D101" i="23"/>
  <c r="D100" i="23"/>
  <c r="D99" i="23"/>
  <c r="D98" i="23"/>
  <c r="E97" i="23"/>
  <c r="E98" i="23" s="1" a="1"/>
  <c r="E98" i="23" s="1"/>
  <c r="D97" i="23"/>
  <c r="D92" i="23"/>
  <c r="E90" i="23"/>
  <c r="D90" i="23"/>
  <c r="E89" i="23"/>
  <c r="D89" i="23"/>
  <c r="E88" i="23"/>
  <c r="D88" i="23"/>
  <c r="E87" i="23"/>
  <c r="D87" i="23"/>
  <c r="E65" i="23"/>
  <c r="D65" i="23"/>
  <c r="E57" i="23"/>
  <c r="D57" i="23"/>
  <c r="F56" i="23"/>
  <c r="E56" i="23"/>
  <c r="D56" i="23"/>
  <c r="F55" i="23"/>
  <c r="E55" i="23"/>
  <c r="D55" i="23"/>
  <c r="F54" i="23"/>
  <c r="E54" i="23"/>
  <c r="D54" i="23"/>
  <c r="D53" i="23"/>
  <c r="E47" i="23"/>
  <c r="D47" i="23"/>
  <c r="P14" i="23" s="1"/>
  <c r="E46" i="23"/>
  <c r="D46" i="23"/>
  <c r="P13" i="23" s="1"/>
  <c r="D45" i="23"/>
  <c r="D36" i="23"/>
  <c r="D35" i="23"/>
  <c r="D34" i="23"/>
  <c r="D33" i="23"/>
  <c r="D32" i="23"/>
  <c r="D31" i="23"/>
  <c r="D30" i="23"/>
  <c r="D29" i="23"/>
  <c r="D28" i="23"/>
  <c r="D27" i="23"/>
  <c r="D26" i="23"/>
  <c r="D25" i="23"/>
  <c r="D24" i="23"/>
  <c r="D23" i="23"/>
  <c r="D22" i="23"/>
  <c r="D21" i="23"/>
  <c r="D20" i="23"/>
  <c r="D19" i="23"/>
  <c r="D18" i="23"/>
  <c r="D17" i="23"/>
  <c r="D16" i="23"/>
  <c r="D15" i="23"/>
  <c r="D14" i="23"/>
  <c r="D13" i="23"/>
  <c r="D12" i="23"/>
  <c r="D11" i="23"/>
  <c r="D10" i="23"/>
  <c r="D9" i="23"/>
  <c r="D8" i="23"/>
  <c r="D7" i="23"/>
  <c r="D6" i="23"/>
  <c r="D51" i="26"/>
  <c r="D50" i="26"/>
  <c r="D49" i="26"/>
  <c r="D48" i="26"/>
  <c r="D47" i="26"/>
  <c r="D45" i="26"/>
  <c r="D44" i="26"/>
  <c r="D43" i="26"/>
  <c r="D42" i="26"/>
  <c r="D41" i="26"/>
  <c r="G39" i="26"/>
  <c r="F39" i="26"/>
  <c r="D39" i="26"/>
  <c r="G38" i="26"/>
  <c r="F38" i="26"/>
  <c r="D38" i="26"/>
  <c r="F29" i="26"/>
  <c r="E29" i="26"/>
  <c r="F28" i="26"/>
  <c r="E28" i="26"/>
  <c r="F27" i="26"/>
  <c r="E27" i="26"/>
  <c r="F17" i="26"/>
  <c r="E17" i="26"/>
  <c r="D17" i="26"/>
  <c r="F16" i="26"/>
  <c r="E16" i="26"/>
  <c r="D16" i="26"/>
  <c r="F15" i="26"/>
  <c r="E15" i="26"/>
  <c r="D15" i="26"/>
  <c r="D14" i="26"/>
  <c r="E11" i="26"/>
  <c r="D11" i="26"/>
  <c r="E10" i="26"/>
  <c r="D10" i="26"/>
  <c r="D5" i="26"/>
  <c r="D4" i="26"/>
  <c r="D94" i="23"/>
  <c r="E48" i="17"/>
  <c r="O55" i="23"/>
  <c r="O53" i="23"/>
  <c r="O51" i="23"/>
  <c r="C54" i="23"/>
  <c r="O49" i="23" s="1"/>
  <c r="C53" i="23"/>
  <c r="E36" i="23"/>
  <c r="E35" i="23"/>
  <c r="E34" i="23"/>
  <c r="E33" i="23"/>
  <c r="E32" i="23"/>
  <c r="E31" i="23"/>
  <c r="E30" i="23"/>
  <c r="E29" i="23"/>
  <c r="E28" i="23"/>
  <c r="E27" i="23"/>
  <c r="E26" i="23"/>
  <c r="E25" i="23"/>
  <c r="E24" i="23"/>
  <c r="E23" i="23"/>
  <c r="E22" i="23"/>
  <c r="E21" i="23"/>
  <c r="E20" i="23"/>
  <c r="E19" i="23"/>
  <c r="E18" i="23"/>
  <c r="E17" i="23"/>
  <c r="E16" i="23"/>
  <c r="E15" i="23"/>
  <c r="E14" i="23"/>
  <c r="E13" i="23"/>
  <c r="E12" i="23"/>
  <c r="E11" i="23"/>
  <c r="E10" i="23"/>
  <c r="E9" i="23"/>
  <c r="E8" i="23"/>
  <c r="E7" i="23"/>
  <c r="E6" i="23"/>
  <c r="D146" i="29" l="1"/>
  <c r="E146" i="29" s="1"/>
  <c r="F146" i="29" s="1"/>
  <c r="G146" i="29" s="1"/>
  <c r="H146" i="29" s="1"/>
  <c r="D139" i="29"/>
  <c r="E139" i="29" s="1"/>
  <c r="D141" i="29"/>
  <c r="E141" i="29" s="1"/>
  <c r="D147" i="29"/>
  <c r="E147" i="29" s="1"/>
  <c r="D148" i="29"/>
  <c r="E148" i="29" s="1"/>
  <c r="F148" i="29" s="1"/>
  <c r="G148" i="29" s="1"/>
  <c r="H148" i="29" s="1"/>
  <c r="D140" i="29"/>
  <c r="E140" i="29" s="1"/>
  <c r="F140" i="29" s="1"/>
  <c r="G140" i="29" s="1"/>
  <c r="H140" i="29" s="1"/>
  <c r="D142" i="29"/>
  <c r="E142" i="29" s="1"/>
  <c r="F142" i="29" s="1"/>
  <c r="G142" i="29" s="1"/>
  <c r="H142" i="29" s="1"/>
  <c r="D145" i="29"/>
  <c r="D135" i="29"/>
  <c r="D134" i="29"/>
  <c r="E134" i="29" s="1"/>
  <c r="F134" i="29" s="1"/>
  <c r="G134" i="29" s="1"/>
  <c r="H134" i="29" s="1"/>
  <c r="D136" i="29"/>
  <c r="E136" i="29" s="1"/>
  <c r="F136" i="29" s="1"/>
  <c r="G136" i="29" s="1"/>
  <c r="H136" i="29" s="1"/>
  <c r="D133" i="29"/>
  <c r="D56" i="26"/>
  <c r="D60" i="26"/>
  <c r="D55" i="26"/>
  <c r="E55" i="26" s="1"/>
  <c r="F55" i="26" s="1"/>
  <c r="G55" i="26" s="1"/>
  <c r="H55" i="26" s="1"/>
  <c r="D59" i="26"/>
  <c r="E59" i="26" s="1"/>
  <c r="F59" i="26" s="1"/>
  <c r="G59" i="26" s="1"/>
  <c r="H59" i="26" s="1"/>
  <c r="P12" i="23"/>
  <c r="D317" i="23"/>
  <c r="D318" i="23"/>
  <c r="D326" i="23"/>
  <c r="F285" i="23" s="1"/>
  <c r="D353" i="23"/>
  <c r="F312" i="23" s="1"/>
  <c r="D337" i="23"/>
  <c r="F296" i="23" s="1"/>
  <c r="D350" i="23"/>
  <c r="F309" i="23" s="1"/>
  <c r="D327" i="23"/>
  <c r="F286" i="23" s="1"/>
  <c r="P11" i="23"/>
  <c r="E317" i="23"/>
  <c r="E318" i="23"/>
  <c r="D328" i="23"/>
  <c r="F287" i="23" s="1"/>
  <c r="D329" i="23"/>
  <c r="F288" i="23" s="1"/>
  <c r="D341" i="23"/>
  <c r="F300" i="23" s="1"/>
  <c r="D330" i="23"/>
  <c r="F289" i="23" s="1"/>
  <c r="D342" i="23"/>
  <c r="F301" i="23" s="1"/>
  <c r="D354" i="23"/>
  <c r="F313" i="23" s="1"/>
  <c r="D325" i="23"/>
  <c r="F284" i="23" s="1"/>
  <c r="D352" i="23"/>
  <c r="F311" i="23" s="1"/>
  <c r="D343" i="23"/>
  <c r="F302" i="23" s="1"/>
  <c r="D338" i="23"/>
  <c r="F297" i="23" s="1"/>
  <c r="D351" i="23"/>
  <c r="F310" i="23" s="1"/>
  <c r="D332" i="23"/>
  <c r="F291" i="23" s="1"/>
  <c r="D333" i="23"/>
  <c r="F292" i="23" s="1"/>
  <c r="D334" i="23"/>
  <c r="F293" i="23" s="1"/>
  <c r="D346" i="23"/>
  <c r="F305" i="23" s="1"/>
  <c r="D347" i="23"/>
  <c r="F306" i="23" s="1"/>
  <c r="D349" i="23"/>
  <c r="F308" i="23" s="1"/>
  <c r="D339" i="23"/>
  <c r="F298" i="23" s="1"/>
  <c r="D340" i="23"/>
  <c r="F299" i="23" s="1"/>
  <c r="D331" i="23"/>
  <c r="F290" i="23" s="1"/>
  <c r="D344" i="23"/>
  <c r="F303" i="23" s="1"/>
  <c r="D345" i="23"/>
  <c r="F304" i="23" s="1"/>
  <c r="D335" i="23"/>
  <c r="F294" i="23" s="1"/>
  <c r="D324" i="23"/>
  <c r="F283" i="23" s="1"/>
  <c r="D336" i="23"/>
  <c r="F295" i="23" s="1"/>
  <c r="D348" i="23"/>
  <c r="F307" i="23" s="1"/>
  <c r="N137" i="29"/>
  <c r="N138" i="29" s="1"/>
  <c r="O135" i="29"/>
  <c r="O136" i="29" s="1"/>
  <c r="N141" i="29"/>
  <c r="N142" i="29" s="1"/>
  <c r="N135" i="29"/>
  <c r="N136" i="29" s="1"/>
  <c r="O137" i="29"/>
  <c r="O138" i="29" s="1"/>
  <c r="N139" i="29"/>
  <c r="N140" i="29" s="1"/>
  <c r="O143" i="29"/>
  <c r="O144" i="29" s="1"/>
  <c r="O141" i="29"/>
  <c r="O142" i="29" s="1"/>
  <c r="O139" i="29"/>
  <c r="O140" i="29" s="1"/>
  <c r="N143" i="29"/>
  <c r="N144" i="29" s="1"/>
  <c r="O120" i="29"/>
  <c r="O121" i="29" s="1"/>
  <c r="O114" i="29"/>
  <c r="O115" i="29" s="1"/>
  <c r="O116" i="29"/>
  <c r="O117" i="29" s="1"/>
  <c r="N120" i="29"/>
  <c r="N121" i="29" s="1"/>
  <c r="N112" i="29"/>
  <c r="N113" i="29" s="1"/>
  <c r="O118" i="29"/>
  <c r="O119" i="29" s="1"/>
  <c r="N116" i="29"/>
  <c r="N117" i="29" s="1"/>
  <c r="O112" i="29"/>
  <c r="O113" i="29" s="1"/>
  <c r="N114" i="29"/>
  <c r="N115" i="29" s="1"/>
  <c r="N118" i="29"/>
  <c r="N119" i="29" s="1"/>
  <c r="N93" i="29"/>
  <c r="N94" i="29" s="1"/>
  <c r="N91" i="29"/>
  <c r="N92" i="29" s="1"/>
  <c r="O93" i="29"/>
  <c r="O94" i="29" s="1"/>
  <c r="O91" i="29"/>
  <c r="O92" i="29" s="1"/>
  <c r="O97" i="29"/>
  <c r="O98" i="29" s="1"/>
  <c r="O95" i="29"/>
  <c r="O96" i="29" s="1"/>
  <c r="O99" i="29"/>
  <c r="O100" i="29" s="1"/>
  <c r="N97" i="29"/>
  <c r="N98" i="29" s="1"/>
  <c r="N99" i="29"/>
  <c r="N100" i="29" s="1"/>
  <c r="N95" i="29"/>
  <c r="N96" i="29" s="1"/>
  <c r="O71" i="29"/>
  <c r="O72" i="29" s="1"/>
  <c r="N71" i="29"/>
  <c r="N72" i="29" s="1"/>
  <c r="N69" i="29"/>
  <c r="N70" i="29" s="1"/>
  <c r="O75" i="29"/>
  <c r="O76" i="29" s="1"/>
  <c r="O73" i="29"/>
  <c r="O74" i="29" s="1"/>
  <c r="O69" i="29"/>
  <c r="O70" i="29" s="1"/>
  <c r="N73" i="29"/>
  <c r="N74" i="29" s="1"/>
  <c r="N75" i="29"/>
  <c r="N76" i="29" s="1"/>
  <c r="N77" i="29"/>
  <c r="N78" i="29" s="1"/>
  <c r="O77" i="29"/>
  <c r="O78" i="29" s="1"/>
  <c r="N47" i="29"/>
  <c r="N48" i="29" s="1"/>
  <c r="O53" i="29"/>
  <c r="O54" i="29" s="1"/>
  <c r="O47" i="29"/>
  <c r="O48" i="29" s="1"/>
  <c r="O55" i="29"/>
  <c r="O56" i="29" s="1"/>
  <c r="N51" i="29"/>
  <c r="N52" i="29" s="1"/>
  <c r="O51" i="29"/>
  <c r="O52" i="29" s="1"/>
  <c r="N53" i="29"/>
  <c r="N54" i="29" s="1"/>
  <c r="N55" i="29"/>
  <c r="N56" i="29" s="1"/>
  <c r="O49" i="29"/>
  <c r="O50" i="29" s="1"/>
  <c r="N49" i="29"/>
  <c r="N50" i="29" s="1"/>
  <c r="O33" i="29"/>
  <c r="O34" i="29" s="1"/>
  <c r="O27" i="29"/>
  <c r="O28" i="29" s="1"/>
  <c r="O31" i="29"/>
  <c r="O32" i="29" s="1"/>
  <c r="O29" i="29"/>
  <c r="O30" i="29" s="1"/>
  <c r="N29" i="29"/>
  <c r="N30" i="29" s="1"/>
  <c r="N25" i="29"/>
  <c r="N26" i="29" s="1"/>
  <c r="N33" i="29"/>
  <c r="N34" i="29" s="1"/>
  <c r="N31" i="29"/>
  <c r="N32" i="29" s="1"/>
  <c r="N27" i="29"/>
  <c r="N28" i="29" s="1"/>
  <c r="O25" i="29"/>
  <c r="O26" i="29" s="1"/>
  <c r="O62" i="26"/>
  <c r="O45" i="26"/>
  <c r="O46" i="26" s="1"/>
  <c r="N43" i="26"/>
  <c r="N44" i="26" s="1"/>
  <c r="N49" i="26"/>
  <c r="N50" i="26" s="1"/>
  <c r="N45" i="26"/>
  <c r="N46" i="26" s="1"/>
  <c r="N41" i="26"/>
  <c r="N42" i="26" s="1"/>
  <c r="O43" i="26"/>
  <c r="O44" i="26" s="1"/>
  <c r="O41" i="26"/>
  <c r="O42" i="26" s="1"/>
  <c r="O47" i="26"/>
  <c r="O48" i="26" s="1"/>
  <c r="O49" i="26"/>
  <c r="O50" i="26" s="1"/>
  <c r="N47" i="26"/>
  <c r="N48" i="26" s="1"/>
  <c r="O58" i="26"/>
  <c r="O59" i="26" s="1"/>
  <c r="O27" i="26"/>
  <c r="O28" i="26" s="1"/>
  <c r="N19" i="26"/>
  <c r="N20" i="26" s="1"/>
  <c r="O25" i="26"/>
  <c r="O26" i="26" s="1"/>
  <c r="N21" i="26"/>
  <c r="N22" i="26" s="1"/>
  <c r="N23" i="26"/>
  <c r="N24" i="26" s="1"/>
  <c r="N27" i="26"/>
  <c r="N28" i="26" s="1"/>
  <c r="N25" i="26"/>
  <c r="N26" i="26" s="1"/>
  <c r="O23" i="26"/>
  <c r="O24" i="26" s="1"/>
  <c r="O21" i="26"/>
  <c r="O22" i="26" s="1"/>
  <c r="O19" i="26"/>
  <c r="O20" i="26" s="1"/>
  <c r="N27" i="32"/>
  <c r="R27" i="32" s="1"/>
  <c r="N24" i="32"/>
  <c r="R24" i="32" s="1"/>
  <c r="N26" i="32"/>
  <c r="R26" i="32" s="1"/>
  <c r="N23" i="32"/>
  <c r="R23" i="32" s="1"/>
  <c r="N25" i="32"/>
  <c r="R25" i="32" s="1"/>
  <c r="M25" i="32"/>
  <c r="Q25" i="32" s="1"/>
  <c r="M24" i="32"/>
  <c r="Q24" i="32" s="1"/>
  <c r="M26" i="32"/>
  <c r="Q26" i="32" s="1"/>
  <c r="M23" i="32"/>
  <c r="Q23" i="32" s="1"/>
  <c r="M27" i="32"/>
  <c r="Q27" i="32" s="1"/>
  <c r="O25" i="32"/>
  <c r="S25" i="32" s="1"/>
  <c r="O26" i="32"/>
  <c r="S26" i="32" s="1"/>
  <c r="O27" i="32"/>
  <c r="S27" i="32" s="1"/>
  <c r="O24" i="32"/>
  <c r="S24" i="32" s="1"/>
  <c r="O23" i="32"/>
  <c r="S23" i="32" s="1"/>
  <c r="L26" i="32"/>
  <c r="P26" i="32" s="1"/>
  <c r="L27" i="32"/>
  <c r="P27" i="32" s="1"/>
  <c r="L24" i="32"/>
  <c r="P24" i="32" s="1"/>
  <c r="L25" i="32"/>
  <c r="P25" i="32" s="1"/>
  <c r="L23" i="32"/>
  <c r="P23" i="32" s="1"/>
  <c r="P56" i="23"/>
  <c r="P57" i="23" s="1"/>
  <c r="Q64" i="23"/>
  <c r="Q65" i="23" s="1"/>
  <c r="Q60" i="23"/>
  <c r="Q61" i="23" s="1"/>
  <c r="P60" i="23"/>
  <c r="P61" i="23" s="1"/>
  <c r="Q58" i="23"/>
  <c r="Q59" i="23" s="1"/>
  <c r="P64" i="23"/>
  <c r="P65" i="23" s="1"/>
  <c r="Q62" i="23"/>
  <c r="Q63" i="23" s="1"/>
  <c r="Q56" i="23"/>
  <c r="Q57" i="23" s="1"/>
  <c r="P58" i="23"/>
  <c r="P59" i="23" s="1"/>
  <c r="P62" i="23"/>
  <c r="P63" i="23" s="1"/>
  <c r="U11" i="31"/>
  <c r="E99" i="23" a="1"/>
  <c r="E99" i="23" s="1"/>
  <c r="G98" i="23"/>
  <c r="H98" i="23" s="1"/>
  <c r="S8" i="31"/>
  <c r="S11" i="31"/>
  <c r="F12" i="23"/>
  <c r="F14" i="23"/>
  <c r="F26" i="23"/>
  <c r="F23" i="23"/>
  <c r="F16" i="23"/>
  <c r="F17" i="23"/>
  <c r="F31" i="23"/>
  <c r="F27" i="23"/>
  <c r="F7" i="23"/>
  <c r="F21" i="23"/>
  <c r="F19" i="23"/>
  <c r="F32" i="23"/>
  <c r="F22" i="23"/>
  <c r="F18" i="23"/>
  <c r="F20" i="23"/>
  <c r="F9" i="23"/>
  <c r="F29" i="23"/>
  <c r="F30" i="23"/>
  <c r="F10" i="23"/>
  <c r="F15" i="23"/>
  <c r="F28" i="23"/>
  <c r="F8" i="23"/>
  <c r="F33" i="23"/>
  <c r="F34" i="23"/>
  <c r="F11" i="23"/>
  <c r="F35" i="23"/>
  <c r="F24" i="23"/>
  <c r="F36" i="23"/>
  <c r="F13" i="23"/>
  <c r="F25" i="23"/>
  <c r="O152" i="29"/>
  <c r="O153" i="29" s="1"/>
  <c r="O5" i="29"/>
  <c r="O154" i="29"/>
  <c r="O155" i="29" s="1"/>
  <c r="O6" i="29"/>
  <c r="O158" i="29"/>
  <c r="O159" i="29" s="1"/>
  <c r="O9" i="29"/>
  <c r="O166" i="29"/>
  <c r="O167" i="29" s="1"/>
  <c r="O14" i="29"/>
  <c r="O164" i="29"/>
  <c r="O165" i="29" s="1"/>
  <c r="O13" i="29"/>
  <c r="O160" i="29"/>
  <c r="O161" i="29" s="1"/>
  <c r="O10" i="29"/>
  <c r="N14" i="29"/>
  <c r="N6" i="29"/>
  <c r="N5" i="29"/>
  <c r="N9" i="29"/>
  <c r="N10" i="29"/>
  <c r="N13" i="29"/>
  <c r="M122" i="29"/>
  <c r="O109" i="29"/>
  <c r="O110" i="29" s="1"/>
  <c r="M39" i="29"/>
  <c r="N21" i="29"/>
  <c r="N22" i="29" s="1"/>
  <c r="M61" i="29"/>
  <c r="M62" i="29"/>
  <c r="N63" i="29"/>
  <c r="N64" i="29" s="1"/>
  <c r="O17" i="29"/>
  <c r="O129" i="29"/>
  <c r="O130" i="29" s="1"/>
  <c r="O41" i="29"/>
  <c r="O42" i="29" s="1"/>
  <c r="M40" i="29"/>
  <c r="M106" i="29"/>
  <c r="N89" i="29"/>
  <c r="N90" i="29" s="1"/>
  <c r="M127" i="29"/>
  <c r="O105" i="29"/>
  <c r="N164" i="29"/>
  <c r="N165" i="29" s="1"/>
  <c r="N17" i="29"/>
  <c r="O107" i="29"/>
  <c r="O108" i="29" s="1"/>
  <c r="N39" i="29"/>
  <c r="N154" i="29"/>
  <c r="N155" i="29" s="1"/>
  <c r="O133" i="29"/>
  <c r="O134" i="29" s="1"/>
  <c r="O85" i="29"/>
  <c r="O86" i="29" s="1"/>
  <c r="N67" i="29"/>
  <c r="N68" i="29" s="1"/>
  <c r="O87" i="29"/>
  <c r="O88" i="29" s="1"/>
  <c r="N111" i="29"/>
  <c r="N122" i="29" s="1"/>
  <c r="M23" i="29"/>
  <c r="N41" i="29"/>
  <c r="N42" i="29" s="1"/>
  <c r="N61" i="29"/>
  <c r="N131" i="29"/>
  <c r="N132" i="29" s="1"/>
  <c r="M46" i="29"/>
  <c r="O67" i="29"/>
  <c r="O68" i="29" s="1"/>
  <c r="O21" i="29"/>
  <c r="O22" i="29" s="1"/>
  <c r="O43" i="29"/>
  <c r="O44" i="29" s="1"/>
  <c r="N133" i="29"/>
  <c r="N134" i="29" s="1"/>
  <c r="M84" i="29"/>
  <c r="M45" i="29"/>
  <c r="O23" i="29"/>
  <c r="O24" i="29" s="1"/>
  <c r="N45" i="29"/>
  <c r="N46" i="29" s="1"/>
  <c r="O83" i="29"/>
  <c r="O65" i="29"/>
  <c r="O66" i="29" s="1"/>
  <c r="O39" i="29"/>
  <c r="M90" i="29"/>
  <c r="O89" i="29"/>
  <c r="O90" i="29" s="1"/>
  <c r="M21" i="29"/>
  <c r="M67" i="29"/>
  <c r="O45" i="29"/>
  <c r="O46" i="29" s="1"/>
  <c r="O61" i="29"/>
  <c r="O111" i="29"/>
  <c r="O122" i="29" s="1"/>
  <c r="O19" i="29"/>
  <c r="O20" i="29" s="1"/>
  <c r="N109" i="29"/>
  <c r="N110" i="29" s="1"/>
  <c r="M43" i="29"/>
  <c r="O63" i="29"/>
  <c r="O64" i="29" s="1"/>
  <c r="M133" i="29"/>
  <c r="M129" i="29"/>
  <c r="N23" i="29"/>
  <c r="N24" i="29" s="1"/>
  <c r="N83" i="29"/>
  <c r="M134" i="29"/>
  <c r="N129" i="29"/>
  <c r="N130" i="29" s="1"/>
  <c r="M17" i="29"/>
  <c r="N19" i="29"/>
  <c r="N20" i="29" s="1"/>
  <c r="M41" i="29"/>
  <c r="M65" i="29"/>
  <c r="N65" i="29"/>
  <c r="N66" i="29" s="1"/>
  <c r="N87" i="29"/>
  <c r="N88" i="29" s="1"/>
  <c r="N105" i="29"/>
  <c r="N127" i="29"/>
  <c r="N85" i="29"/>
  <c r="N86" i="29" s="1"/>
  <c r="N107" i="29"/>
  <c r="N108" i="29" s="1"/>
  <c r="M18" i="29"/>
  <c r="M42" i="29"/>
  <c r="N43" i="29"/>
  <c r="N44" i="29" s="1"/>
  <c r="M66" i="29"/>
  <c r="M83" i="29"/>
  <c r="M105" i="29"/>
  <c r="M19" i="29"/>
  <c r="O127" i="29"/>
  <c r="N158" i="29"/>
  <c r="N159" i="29" s="1"/>
  <c r="N166" i="29"/>
  <c r="N167" i="29" s="1"/>
  <c r="M20" i="29"/>
  <c r="M44" i="29"/>
  <c r="M68" i="29"/>
  <c r="M85" i="29"/>
  <c r="M107" i="29"/>
  <c r="M108" i="29"/>
  <c r="O131" i="29"/>
  <c r="O132" i="29" s="1"/>
  <c r="M109" i="29"/>
  <c r="M130" i="29"/>
  <c r="M87" i="29"/>
  <c r="M63" i="29"/>
  <c r="M88" i="29"/>
  <c r="M110" i="29"/>
  <c r="M131" i="29"/>
  <c r="N152" i="29"/>
  <c r="N153" i="29" s="1"/>
  <c r="N160" i="29"/>
  <c r="N161" i="29" s="1"/>
  <c r="M86" i="29"/>
  <c r="M22" i="29"/>
  <c r="M24" i="29"/>
  <c r="M89" i="29"/>
  <c r="D180" i="23"/>
  <c r="Q14" i="23"/>
  <c r="Q13" i="23"/>
  <c r="O50" i="23"/>
  <c r="O52" i="23"/>
  <c r="O54" i="23"/>
  <c r="O48" i="23"/>
  <c r="G16" i="23"/>
  <c r="H16" i="23" s="1"/>
  <c r="G28" i="23"/>
  <c r="H28" i="23" s="1"/>
  <c r="D39" i="23"/>
  <c r="Q68" i="23" s="1"/>
  <c r="G13" i="23"/>
  <c r="H13" i="23" s="1"/>
  <c r="G14" i="23"/>
  <c r="H14" i="23" s="1"/>
  <c r="G25" i="23"/>
  <c r="H25" i="23" s="1"/>
  <c r="G15" i="23"/>
  <c r="H15" i="23" s="1"/>
  <c r="G26" i="23"/>
  <c r="H26" i="23" s="1"/>
  <c r="G27" i="23"/>
  <c r="H27" i="23" s="1"/>
  <c r="G7" i="23"/>
  <c r="H7" i="23" s="1"/>
  <c r="G9" i="23"/>
  <c r="H9" i="23" s="1"/>
  <c r="G33" i="23"/>
  <c r="H33" i="23" s="1"/>
  <c r="G10" i="23"/>
  <c r="H10" i="23" s="1"/>
  <c r="G22" i="23"/>
  <c r="H22" i="23" s="1"/>
  <c r="G34" i="23"/>
  <c r="H34" i="23" s="1"/>
  <c r="G19" i="23"/>
  <c r="H19" i="23" s="1"/>
  <c r="G21" i="23"/>
  <c r="H21" i="23" s="1"/>
  <c r="G11" i="23"/>
  <c r="H11" i="23" s="1"/>
  <c r="G23" i="23"/>
  <c r="H23" i="23" s="1"/>
  <c r="G35" i="23"/>
  <c r="H35" i="23" s="1"/>
  <c r="G12" i="23"/>
  <c r="H12" i="23" s="1"/>
  <c r="G24" i="23"/>
  <c r="H24" i="23" s="1"/>
  <c r="G36" i="23"/>
  <c r="H36" i="23" s="1"/>
  <c r="G17" i="23"/>
  <c r="H17" i="23" s="1"/>
  <c r="G29" i="23"/>
  <c r="H29" i="23" s="1"/>
  <c r="G31" i="23"/>
  <c r="H31" i="23" s="1"/>
  <c r="G8" i="23"/>
  <c r="H8" i="23" s="1"/>
  <c r="G20" i="23"/>
  <c r="H20" i="23" s="1"/>
  <c r="G32" i="23"/>
  <c r="H32" i="23" s="1"/>
  <c r="G18" i="23"/>
  <c r="H18" i="23" s="1"/>
  <c r="G30" i="23"/>
  <c r="H30" i="23" s="1"/>
  <c r="P4" i="23"/>
  <c r="N194" i="29" l="1"/>
  <c r="N208" i="29"/>
  <c r="N209" i="29"/>
  <c r="N195" i="29"/>
  <c r="N211" i="29"/>
  <c r="N197" i="29"/>
  <c r="O209" i="29"/>
  <c r="F141" i="29"/>
  <c r="O195" i="29"/>
  <c r="E133" i="29"/>
  <c r="N192" i="29"/>
  <c r="N206" i="29"/>
  <c r="E135" i="29"/>
  <c r="N193" i="29"/>
  <c r="N207" i="29"/>
  <c r="F147" i="29"/>
  <c r="O211" i="29"/>
  <c r="O197" i="29"/>
  <c r="E145" i="29"/>
  <c r="N196" i="29"/>
  <c r="N210" i="29"/>
  <c r="F139" i="29"/>
  <c r="O194" i="29"/>
  <c r="O208" i="29"/>
  <c r="D214" i="23"/>
  <c r="D248" i="23" s="1"/>
  <c r="F131" i="23"/>
  <c r="N111" i="26"/>
  <c r="E56" i="26"/>
  <c r="O105" i="26" s="1"/>
  <c r="N105" i="26"/>
  <c r="E60" i="26"/>
  <c r="O111" i="26" s="1"/>
  <c r="N93" i="26"/>
  <c r="N87" i="26"/>
  <c r="D319" i="23"/>
  <c r="E319" i="23"/>
  <c r="E341" i="23"/>
  <c r="G300" i="23" s="1"/>
  <c r="D375" i="23"/>
  <c r="D409" i="23" s="1"/>
  <c r="E350" i="23"/>
  <c r="G309" i="23" s="1"/>
  <c r="D384" i="23"/>
  <c r="D418" i="23" s="1"/>
  <c r="D381" i="23"/>
  <c r="D415" i="23" s="1"/>
  <c r="E347" i="23"/>
  <c r="G306" i="23" s="1"/>
  <c r="E331" i="23"/>
  <c r="G290" i="23" s="1"/>
  <c r="D365" i="23"/>
  <c r="D399" i="23" s="1"/>
  <c r="E348" i="23"/>
  <c r="G307" i="23" s="1"/>
  <c r="D382" i="23"/>
  <c r="D416" i="23" s="1"/>
  <c r="D368" i="23"/>
  <c r="D402" i="23" s="1"/>
  <c r="E334" i="23"/>
  <c r="G293" i="23" s="1"/>
  <c r="E352" i="23"/>
  <c r="G311" i="23" s="1"/>
  <c r="D386" i="23"/>
  <c r="D420" i="23" s="1"/>
  <c r="E330" i="23"/>
  <c r="G289" i="23" s="1"/>
  <c r="D364" i="23"/>
  <c r="D398" i="23" s="1"/>
  <c r="E343" i="23"/>
  <c r="G302" i="23" s="1"/>
  <c r="D377" i="23"/>
  <c r="D411" i="23" s="1"/>
  <c r="E329" i="23"/>
  <c r="G288" i="23" s="1"/>
  <c r="D363" i="23"/>
  <c r="D397" i="23" s="1"/>
  <c r="E340" i="23"/>
  <c r="G299" i="23" s="1"/>
  <c r="D374" i="23"/>
  <c r="D408" i="23" s="1"/>
  <c r="D367" i="23"/>
  <c r="D401" i="23" s="1"/>
  <c r="E333" i="23"/>
  <c r="G292" i="23" s="1"/>
  <c r="E353" i="23"/>
  <c r="G312" i="23" s="1"/>
  <c r="D387" i="23"/>
  <c r="D421" i="23" s="1"/>
  <c r="D370" i="23"/>
  <c r="D404" i="23" s="1"/>
  <c r="E336" i="23"/>
  <c r="G295" i="23" s="1"/>
  <c r="E325" i="23"/>
  <c r="G284" i="23" s="1"/>
  <c r="D359" i="23"/>
  <c r="D393" i="23" s="1"/>
  <c r="E328" i="23"/>
  <c r="G287" i="23" s="1"/>
  <c r="D362" i="23"/>
  <c r="D396" i="23" s="1"/>
  <c r="E344" i="23"/>
  <c r="G303" i="23" s="1"/>
  <c r="D378" i="23"/>
  <c r="D412" i="23" s="1"/>
  <c r="F314" i="23"/>
  <c r="E326" i="23"/>
  <c r="G285" i="23" s="1"/>
  <c r="D360" i="23"/>
  <c r="D394" i="23" s="1"/>
  <c r="D371" i="23"/>
  <c r="D405" i="23" s="1"/>
  <c r="E337" i="23"/>
  <c r="G296" i="23" s="1"/>
  <c r="E324" i="23"/>
  <c r="G283" i="23" s="1"/>
  <c r="D358" i="23"/>
  <c r="D392" i="23" s="1"/>
  <c r="E339" i="23"/>
  <c r="G298" i="23" s="1"/>
  <c r="D373" i="23"/>
  <c r="D407" i="23" s="1"/>
  <c r="D366" i="23"/>
  <c r="D400" i="23" s="1"/>
  <c r="E332" i="23"/>
  <c r="G291" i="23" s="1"/>
  <c r="E354" i="23"/>
  <c r="G313" i="23" s="1"/>
  <c r="D388" i="23"/>
  <c r="D422" i="23" s="1"/>
  <c r="E338" i="23"/>
  <c r="G297" i="23" s="1"/>
  <c r="D372" i="23"/>
  <c r="D406" i="23" s="1"/>
  <c r="D380" i="23"/>
  <c r="D414" i="23" s="1"/>
  <c r="E346" i="23"/>
  <c r="G305" i="23" s="1"/>
  <c r="E351" i="23"/>
  <c r="G310" i="23" s="1"/>
  <c r="D385" i="23"/>
  <c r="D419" i="23" s="1"/>
  <c r="D369" i="23"/>
  <c r="D403" i="23" s="1"/>
  <c r="E335" i="23"/>
  <c r="G294" i="23" s="1"/>
  <c r="E349" i="23"/>
  <c r="G308" i="23" s="1"/>
  <c r="D383" i="23"/>
  <c r="D417" i="23" s="1"/>
  <c r="E342" i="23"/>
  <c r="G301" i="23" s="1"/>
  <c r="D376" i="23"/>
  <c r="D410" i="23" s="1"/>
  <c r="E327" i="23"/>
  <c r="G286" i="23" s="1"/>
  <c r="D361" i="23"/>
  <c r="D395" i="23" s="1"/>
  <c r="E345" i="23"/>
  <c r="G304" i="23" s="1"/>
  <c r="D379" i="23"/>
  <c r="D413" i="23" s="1"/>
  <c r="E17" i="22"/>
  <c r="C17" i="22"/>
  <c r="P68" i="23"/>
  <c r="O145" i="29"/>
  <c r="N128" i="29"/>
  <c r="N146" i="29" s="1"/>
  <c r="N145" i="29"/>
  <c r="O106" i="29"/>
  <c r="O124" i="29" s="1"/>
  <c r="O123" i="29"/>
  <c r="N106" i="29"/>
  <c r="N124" i="29" s="1"/>
  <c r="N123" i="29"/>
  <c r="O84" i="29"/>
  <c r="O102" i="29" s="1"/>
  <c r="O101" i="29"/>
  <c r="N84" i="29"/>
  <c r="N102" i="29" s="1"/>
  <c r="N101" i="29"/>
  <c r="N62" i="29"/>
  <c r="N80" i="29" s="1"/>
  <c r="N79" i="29"/>
  <c r="O62" i="29"/>
  <c r="O80" i="29" s="1"/>
  <c r="O79" i="29"/>
  <c r="N40" i="29"/>
  <c r="N58" i="29" s="1"/>
  <c r="N57" i="29"/>
  <c r="O40" i="29"/>
  <c r="O58" i="29" s="1"/>
  <c r="O57" i="29"/>
  <c r="O18" i="29"/>
  <c r="O36" i="29" s="1"/>
  <c r="O35" i="29"/>
  <c r="N18" i="29"/>
  <c r="N36" i="29" s="1"/>
  <c r="N35" i="29"/>
  <c r="E100" i="23" a="1"/>
  <c r="E100" i="23" s="1"/>
  <c r="G99" i="23"/>
  <c r="H99" i="23" s="1"/>
  <c r="D42" i="23"/>
  <c r="Q52" i="23"/>
  <c r="Q53" i="23" s="1"/>
  <c r="Q20" i="23"/>
  <c r="Q24" i="23"/>
  <c r="Q25" i="23" s="1"/>
  <c r="Q22" i="23"/>
  <c r="Q23" i="23" s="1"/>
  <c r="P20" i="23"/>
  <c r="P28" i="23"/>
  <c r="P29" i="23" s="1"/>
  <c r="P26" i="23"/>
  <c r="P27" i="23" s="1"/>
  <c r="P22" i="23"/>
  <c r="P23" i="23" s="1"/>
  <c r="Q26" i="23"/>
  <c r="Q27" i="23" s="1"/>
  <c r="P24" i="23"/>
  <c r="P25" i="23" s="1"/>
  <c r="Q28" i="23"/>
  <c r="Q29" i="23" s="1"/>
  <c r="O175" i="29"/>
  <c r="P72" i="23"/>
  <c r="O170" i="29"/>
  <c r="E18" i="22" s="1"/>
  <c r="N170" i="29"/>
  <c r="C18" i="22" s="1"/>
  <c r="N173" i="29"/>
  <c r="N175" i="29"/>
  <c r="O128" i="29"/>
  <c r="O146" i="29" s="1"/>
  <c r="E180" i="23"/>
  <c r="F98" i="23"/>
  <c r="D181" i="23"/>
  <c r="F132" i="23" s="1"/>
  <c r="E162" i="23"/>
  <c r="D162" i="23"/>
  <c r="Q12" i="23"/>
  <c r="Q15" i="23" s="1"/>
  <c r="D182" i="23"/>
  <c r="F133" i="23" s="1"/>
  <c r="P77" i="23"/>
  <c r="P80" i="23" s="1"/>
  <c r="Q5" i="23"/>
  <c r="E16" i="20" s="1"/>
  <c r="Q43" i="23"/>
  <c r="Q44" i="23" s="1"/>
  <c r="Q54" i="23"/>
  <c r="Q55" i="23" s="1"/>
  <c r="P50" i="23"/>
  <c r="P51" i="23" s="1"/>
  <c r="P48" i="23"/>
  <c r="P41" i="23"/>
  <c r="P42" i="23" s="1"/>
  <c r="Q48" i="23"/>
  <c r="P43" i="23"/>
  <c r="P44" i="23" s="1"/>
  <c r="Q41" i="23"/>
  <c r="Q42" i="23" s="1"/>
  <c r="Q50" i="23"/>
  <c r="Q51" i="23" s="1"/>
  <c r="P54" i="23"/>
  <c r="P55" i="23" s="1"/>
  <c r="P52" i="23"/>
  <c r="P53" i="23" s="1"/>
  <c r="H37" i="23"/>
  <c r="P6" i="23" s="1"/>
  <c r="C17" i="20" s="1"/>
  <c r="E320" i="23" l="1"/>
  <c r="P90" i="23" s="1"/>
  <c r="G139" i="29"/>
  <c r="P194" i="29"/>
  <c r="P208" i="29"/>
  <c r="F133" i="29"/>
  <c r="O206" i="29"/>
  <c r="O192" i="29"/>
  <c r="F135" i="29"/>
  <c r="O193" i="29"/>
  <c r="O207" i="29"/>
  <c r="N200" i="29"/>
  <c r="N214" i="29"/>
  <c r="G141" i="29"/>
  <c r="P209" i="29"/>
  <c r="P195" i="29"/>
  <c r="O196" i="29"/>
  <c r="O210" i="29"/>
  <c r="F145" i="29"/>
  <c r="G147" i="29"/>
  <c r="P211" i="29"/>
  <c r="P197" i="29"/>
  <c r="O87" i="26"/>
  <c r="G314" i="23"/>
  <c r="F180" i="23"/>
  <c r="H131" i="23" s="1"/>
  <c r="G131" i="23"/>
  <c r="N99" i="26"/>
  <c r="F56" i="26"/>
  <c r="P105" i="26" s="1"/>
  <c r="N117" i="26"/>
  <c r="O117" i="26"/>
  <c r="F60" i="26"/>
  <c r="P111" i="26" s="1"/>
  <c r="O93" i="26"/>
  <c r="F342" i="23"/>
  <c r="H301" i="23" s="1"/>
  <c r="E376" i="23"/>
  <c r="E410" i="23" s="1"/>
  <c r="F354" i="23"/>
  <c r="H313" i="23" s="1"/>
  <c r="E388" i="23"/>
  <c r="E422" i="23" s="1"/>
  <c r="F332" i="23"/>
  <c r="H291" i="23" s="1"/>
  <c r="E366" i="23"/>
  <c r="E400" i="23" s="1"/>
  <c r="F333" i="23"/>
  <c r="H292" i="23" s="1"/>
  <c r="E367" i="23"/>
  <c r="E401" i="23" s="1"/>
  <c r="F339" i="23"/>
  <c r="H298" i="23" s="1"/>
  <c r="E373" i="23"/>
  <c r="E407" i="23" s="1"/>
  <c r="F347" i="23"/>
  <c r="H306" i="23" s="1"/>
  <c r="E381" i="23"/>
  <c r="E415" i="23" s="1"/>
  <c r="F325" i="23"/>
  <c r="H284" i="23" s="1"/>
  <c r="E359" i="23"/>
  <c r="E393" i="23" s="1"/>
  <c r="F343" i="23"/>
  <c r="H302" i="23" s="1"/>
  <c r="E377" i="23"/>
  <c r="E411" i="23" s="1"/>
  <c r="F338" i="23"/>
  <c r="H297" i="23" s="1"/>
  <c r="E372" i="23"/>
  <c r="E406" i="23" s="1"/>
  <c r="F344" i="23"/>
  <c r="H303" i="23" s="1"/>
  <c r="E378" i="23"/>
  <c r="E412" i="23" s="1"/>
  <c r="F351" i="23"/>
  <c r="H310" i="23" s="1"/>
  <c r="E385" i="23"/>
  <c r="E419" i="23" s="1"/>
  <c r="F324" i="23"/>
  <c r="H283" i="23" s="1"/>
  <c r="E358" i="23"/>
  <c r="E392" i="23" s="1"/>
  <c r="F336" i="23"/>
  <c r="H295" i="23" s="1"/>
  <c r="E370" i="23"/>
  <c r="E404" i="23" s="1"/>
  <c r="D423" i="23"/>
  <c r="P91" i="23" s="1"/>
  <c r="F328" i="23"/>
  <c r="H287" i="23" s="1"/>
  <c r="E362" i="23"/>
  <c r="E396" i="23" s="1"/>
  <c r="F330" i="23"/>
  <c r="H289" i="23" s="1"/>
  <c r="E364" i="23"/>
  <c r="E398" i="23" s="1"/>
  <c r="F350" i="23"/>
  <c r="H309" i="23" s="1"/>
  <c r="E384" i="23"/>
  <c r="E418" i="23" s="1"/>
  <c r="F326" i="23"/>
  <c r="H285" i="23" s="1"/>
  <c r="E360" i="23"/>
  <c r="E394" i="23" s="1"/>
  <c r="F348" i="23"/>
  <c r="H307" i="23" s="1"/>
  <c r="E382" i="23"/>
  <c r="E416" i="23" s="1"/>
  <c r="F335" i="23"/>
  <c r="H294" i="23" s="1"/>
  <c r="E369" i="23"/>
  <c r="E403" i="23" s="1"/>
  <c r="F329" i="23"/>
  <c r="H288" i="23" s="1"/>
  <c r="E363" i="23"/>
  <c r="E397" i="23" s="1"/>
  <c r="F346" i="23"/>
  <c r="H305" i="23" s="1"/>
  <c r="E380" i="23"/>
  <c r="E414" i="23" s="1"/>
  <c r="F334" i="23"/>
  <c r="H293" i="23" s="1"/>
  <c r="E368" i="23"/>
  <c r="E402" i="23" s="1"/>
  <c r="F349" i="23"/>
  <c r="H308" i="23" s="1"/>
  <c r="E383" i="23"/>
  <c r="E417" i="23" s="1"/>
  <c r="F340" i="23"/>
  <c r="H299" i="23" s="1"/>
  <c r="E374" i="23"/>
  <c r="E408" i="23" s="1"/>
  <c r="F331" i="23"/>
  <c r="H290" i="23" s="1"/>
  <c r="E365" i="23"/>
  <c r="E399" i="23" s="1"/>
  <c r="F345" i="23"/>
  <c r="H304" i="23" s="1"/>
  <c r="E379" i="23"/>
  <c r="E413" i="23" s="1"/>
  <c r="F337" i="23"/>
  <c r="H296" i="23" s="1"/>
  <c r="E371" i="23"/>
  <c r="E405" i="23" s="1"/>
  <c r="F327" i="23"/>
  <c r="H286" i="23" s="1"/>
  <c r="E361" i="23"/>
  <c r="E395" i="23" s="1"/>
  <c r="F353" i="23"/>
  <c r="H312" i="23" s="1"/>
  <c r="E387" i="23"/>
  <c r="E421" i="23" s="1"/>
  <c r="F352" i="23"/>
  <c r="H311" i="23" s="1"/>
  <c r="E386" i="23"/>
  <c r="E420" i="23" s="1"/>
  <c r="F341" i="23"/>
  <c r="H300" i="23" s="1"/>
  <c r="E375" i="23"/>
  <c r="E409" i="23" s="1"/>
  <c r="E101" i="23" a="1"/>
  <c r="E101" i="23" s="1"/>
  <c r="G100" i="23"/>
  <c r="H100" i="23" s="1"/>
  <c r="P69" i="23"/>
  <c r="N181" i="29"/>
  <c r="N182" i="29" s="1"/>
  <c r="N184" i="29"/>
  <c r="N185" i="29" s="1"/>
  <c r="O184" i="29"/>
  <c r="O185" i="29" s="1"/>
  <c r="P21" i="23"/>
  <c r="P31" i="23" s="1"/>
  <c r="C19" i="20" s="1"/>
  <c r="P30" i="23"/>
  <c r="Q21" i="23"/>
  <c r="Q31" i="23" s="1"/>
  <c r="E19" i="20" s="1"/>
  <c r="Q30" i="23"/>
  <c r="O173" i="29"/>
  <c r="O181" i="29"/>
  <c r="O182" i="29" s="1"/>
  <c r="N174" i="29"/>
  <c r="N180" i="29" s="1"/>
  <c r="N176" i="29"/>
  <c r="N183" i="29" s="1"/>
  <c r="O176" i="29"/>
  <c r="O183" i="29" s="1"/>
  <c r="O174" i="29"/>
  <c r="N149" i="29"/>
  <c r="C19" i="22" s="1"/>
  <c r="O149" i="29"/>
  <c r="E19" i="22" s="1"/>
  <c r="E214" i="23"/>
  <c r="E248" i="23" s="1"/>
  <c r="D165" i="23"/>
  <c r="D172" i="23"/>
  <c r="E172" i="23" s="1"/>
  <c r="D175" i="23"/>
  <c r="E175" i="23" s="1"/>
  <c r="D174" i="23"/>
  <c r="E174" i="23" s="1"/>
  <c r="D173" i="23"/>
  <c r="E173" i="23" s="1"/>
  <c r="D171" i="23"/>
  <c r="E171" i="23" s="1"/>
  <c r="F175" i="23"/>
  <c r="G175" i="23" s="1"/>
  <c r="F174" i="23"/>
  <c r="G174" i="23" s="1"/>
  <c r="F173" i="23"/>
  <c r="G173" i="23" s="1"/>
  <c r="F171" i="23"/>
  <c r="G171" i="23" s="1"/>
  <c r="F172" i="23"/>
  <c r="G172" i="23" s="1"/>
  <c r="E182" i="23"/>
  <c r="G133" i="23" s="1"/>
  <c r="D216" i="23"/>
  <c r="D250" i="23" s="1"/>
  <c r="E181" i="23"/>
  <c r="G132" i="23" s="1"/>
  <c r="D215" i="23"/>
  <c r="D249" i="23" s="1"/>
  <c r="Q11" i="23"/>
  <c r="Q16" i="23" s="1"/>
  <c r="Q17" i="23" s="1"/>
  <c r="Q7" i="23" s="1"/>
  <c r="E18" i="20" s="1"/>
  <c r="E165" i="23"/>
  <c r="D166" i="23"/>
  <c r="E166" i="23"/>
  <c r="F99" i="23"/>
  <c r="Q45" i="23"/>
  <c r="E21" i="20" s="1"/>
  <c r="Q49" i="23"/>
  <c r="Q66" i="23" s="1"/>
  <c r="P49" i="23"/>
  <c r="P66" i="23" s="1"/>
  <c r="O37" i="26"/>
  <c r="C29" i="26"/>
  <c r="C28" i="26"/>
  <c r="C27" i="26"/>
  <c r="C26" i="26"/>
  <c r="M18" i="26"/>
  <c r="C17" i="26"/>
  <c r="M38" i="26" s="1"/>
  <c r="C16" i="26"/>
  <c r="M14" i="26" s="1"/>
  <c r="C15" i="26"/>
  <c r="M12" i="26" s="1"/>
  <c r="C14" i="26"/>
  <c r="D68" i="17"/>
  <c r="D67" i="17"/>
  <c r="D66" i="17"/>
  <c r="D65" i="17"/>
  <c r="D64" i="17"/>
  <c r="M42" i="17"/>
  <c r="M43" i="17"/>
  <c r="E61" i="17"/>
  <c r="E59" i="17"/>
  <c r="E47" i="17"/>
  <c r="E44" i="17"/>
  <c r="F35" i="17"/>
  <c r="F34" i="17"/>
  <c r="F33" i="17"/>
  <c r="P117" i="26" l="1"/>
  <c r="E27" i="22"/>
  <c r="E28" i="22"/>
  <c r="C27" i="22"/>
  <c r="C28" i="22"/>
  <c r="Q90" i="23"/>
  <c r="F214" i="23"/>
  <c r="F248" i="23" s="1"/>
  <c r="G180" i="23"/>
  <c r="I131" i="23" s="1"/>
  <c r="G56" i="26"/>
  <c r="Q105" i="26" s="1"/>
  <c r="G135" i="29"/>
  <c r="P193" i="29"/>
  <c r="P207" i="29"/>
  <c r="O214" i="29"/>
  <c r="H139" i="29"/>
  <c r="Q194" i="29"/>
  <c r="Q208" i="29"/>
  <c r="O200" i="29"/>
  <c r="G133" i="29"/>
  <c r="P206" i="29"/>
  <c r="P192" i="29"/>
  <c r="H141" i="29"/>
  <c r="Q209" i="29"/>
  <c r="Q195" i="29"/>
  <c r="H147" i="29"/>
  <c r="Q197" i="29"/>
  <c r="Q211" i="29"/>
  <c r="G145" i="29"/>
  <c r="P210" i="29"/>
  <c r="P196" i="29"/>
  <c r="P87" i="26"/>
  <c r="H314" i="23"/>
  <c r="R90" i="23" s="1"/>
  <c r="O99" i="26"/>
  <c r="G60" i="26"/>
  <c r="Q111" i="26" s="1"/>
  <c r="Q117" i="26" s="1"/>
  <c r="P93" i="26"/>
  <c r="H171" i="23"/>
  <c r="H173" i="23"/>
  <c r="R85" i="23" s="1"/>
  <c r="H174" i="23"/>
  <c r="S85" i="23" s="1"/>
  <c r="H175" i="23"/>
  <c r="T85" i="23" s="1"/>
  <c r="H172" i="23"/>
  <c r="Q85" i="23" s="1"/>
  <c r="G351" i="23"/>
  <c r="I310" i="23" s="1"/>
  <c r="F385" i="23"/>
  <c r="F419" i="23" s="1"/>
  <c r="G339" i="23"/>
  <c r="I298" i="23" s="1"/>
  <c r="F373" i="23"/>
  <c r="F407" i="23" s="1"/>
  <c r="G326" i="23"/>
  <c r="I285" i="23" s="1"/>
  <c r="F360" i="23"/>
  <c r="F394" i="23" s="1"/>
  <c r="G337" i="23"/>
  <c r="I296" i="23" s="1"/>
  <c r="F371" i="23"/>
  <c r="F405" i="23" s="1"/>
  <c r="G330" i="23"/>
  <c r="I289" i="23" s="1"/>
  <c r="F364" i="23"/>
  <c r="F398" i="23" s="1"/>
  <c r="G344" i="23"/>
  <c r="I303" i="23" s="1"/>
  <c r="F378" i="23"/>
  <c r="F412" i="23" s="1"/>
  <c r="G338" i="23"/>
  <c r="I297" i="23" s="1"/>
  <c r="F372" i="23"/>
  <c r="F406" i="23" s="1"/>
  <c r="G332" i="23"/>
  <c r="I291" i="23" s="1"/>
  <c r="F366" i="23"/>
  <c r="F400" i="23" s="1"/>
  <c r="G349" i="23"/>
  <c r="I308" i="23" s="1"/>
  <c r="F383" i="23"/>
  <c r="F417" i="23" s="1"/>
  <c r="G350" i="23"/>
  <c r="I309" i="23" s="1"/>
  <c r="F384" i="23"/>
  <c r="F418" i="23" s="1"/>
  <c r="G345" i="23"/>
  <c r="I304" i="23" s="1"/>
  <c r="F379" i="23"/>
  <c r="F413" i="23" s="1"/>
  <c r="G329" i="23"/>
  <c r="I288" i="23" s="1"/>
  <c r="F363" i="23"/>
  <c r="F397" i="23" s="1"/>
  <c r="G328" i="23"/>
  <c r="I287" i="23" s="1"/>
  <c r="F362" i="23"/>
  <c r="F396" i="23" s="1"/>
  <c r="G343" i="23"/>
  <c r="I302" i="23" s="1"/>
  <c r="F377" i="23"/>
  <c r="F411" i="23" s="1"/>
  <c r="G354" i="23"/>
  <c r="I313" i="23" s="1"/>
  <c r="F388" i="23"/>
  <c r="F422" i="23" s="1"/>
  <c r="G327" i="23"/>
  <c r="I286" i="23" s="1"/>
  <c r="F361" i="23"/>
  <c r="F395" i="23" s="1"/>
  <c r="G346" i="23"/>
  <c r="I305" i="23" s="1"/>
  <c r="F380" i="23"/>
  <c r="F414" i="23" s="1"/>
  <c r="G341" i="23"/>
  <c r="I300" i="23" s="1"/>
  <c r="F375" i="23"/>
  <c r="F409" i="23" s="1"/>
  <c r="G331" i="23"/>
  <c r="I290" i="23" s="1"/>
  <c r="F365" i="23"/>
  <c r="F399" i="23" s="1"/>
  <c r="G335" i="23"/>
  <c r="I294" i="23" s="1"/>
  <c r="F369" i="23"/>
  <c r="F403" i="23" s="1"/>
  <c r="E423" i="23"/>
  <c r="Q91" i="23" s="1"/>
  <c r="G353" i="23"/>
  <c r="I312" i="23" s="1"/>
  <c r="F387" i="23"/>
  <c r="F421" i="23" s="1"/>
  <c r="G334" i="23"/>
  <c r="I293" i="23" s="1"/>
  <c r="F368" i="23"/>
  <c r="F402" i="23" s="1"/>
  <c r="G336" i="23"/>
  <c r="I295" i="23" s="1"/>
  <c r="F370" i="23"/>
  <c r="F404" i="23" s="1"/>
  <c r="G325" i="23"/>
  <c r="I284" i="23" s="1"/>
  <c r="F359" i="23"/>
  <c r="F393" i="23" s="1"/>
  <c r="G333" i="23"/>
  <c r="I292" i="23" s="1"/>
  <c r="F367" i="23"/>
  <c r="F401" i="23" s="1"/>
  <c r="G352" i="23"/>
  <c r="I311" i="23" s="1"/>
  <c r="F386" i="23"/>
  <c r="F420" i="23" s="1"/>
  <c r="G340" i="23"/>
  <c r="I299" i="23" s="1"/>
  <c r="F374" i="23"/>
  <c r="F408" i="23" s="1"/>
  <c r="G348" i="23"/>
  <c r="I307" i="23" s="1"/>
  <c r="F382" i="23"/>
  <c r="F416" i="23" s="1"/>
  <c r="G324" i="23"/>
  <c r="I283" i="23" s="1"/>
  <c r="F358" i="23"/>
  <c r="F392" i="23" s="1"/>
  <c r="G347" i="23"/>
  <c r="I306" i="23" s="1"/>
  <c r="F381" i="23"/>
  <c r="F415" i="23" s="1"/>
  <c r="G342" i="23"/>
  <c r="I301" i="23" s="1"/>
  <c r="F376" i="23"/>
  <c r="F410" i="23" s="1"/>
  <c r="P67" i="23"/>
  <c r="C22" i="20" s="1"/>
  <c r="E102" i="23" a="1"/>
  <c r="E102" i="23" s="1"/>
  <c r="G101" i="23"/>
  <c r="H101" i="23" s="1"/>
  <c r="O187" i="29"/>
  <c r="N187" i="29"/>
  <c r="O180" i="29"/>
  <c r="O186" i="29" s="1"/>
  <c r="E21" i="22" s="1"/>
  <c r="S5" i="17"/>
  <c r="D89" i="32" s="1"/>
  <c r="C41" i="31"/>
  <c r="N186" i="29"/>
  <c r="N177" i="29"/>
  <c r="O177" i="29"/>
  <c r="D167" i="23"/>
  <c r="D183" i="23"/>
  <c r="F134" i="23" s="1"/>
  <c r="F181" i="23"/>
  <c r="H132" i="23" s="1"/>
  <c r="E215" i="23"/>
  <c r="E249" i="23" s="1"/>
  <c r="F182" i="23"/>
  <c r="H133" i="23" s="1"/>
  <c r="E216" i="23"/>
  <c r="E250" i="23" s="1"/>
  <c r="E167" i="23"/>
  <c r="D49" i="23"/>
  <c r="F100" i="23"/>
  <c r="N9" i="17"/>
  <c r="N8" i="26"/>
  <c r="O15" i="26"/>
  <c r="O16" i="26" s="1"/>
  <c r="N5" i="26"/>
  <c r="O5" i="26"/>
  <c r="O8" i="26"/>
  <c r="N13" i="26"/>
  <c r="N14" i="26" s="1"/>
  <c r="N17" i="26"/>
  <c r="N18" i="26" s="1"/>
  <c r="O38" i="26"/>
  <c r="O17" i="26"/>
  <c r="O18" i="26" s="1"/>
  <c r="N15" i="26"/>
  <c r="N16" i="26" s="1"/>
  <c r="O35" i="26"/>
  <c r="O36" i="26" s="1"/>
  <c r="O39" i="26"/>
  <c r="O40" i="26" s="1"/>
  <c r="O63" i="26"/>
  <c r="N62" i="26"/>
  <c r="N63" i="26" s="1"/>
  <c r="N11" i="26"/>
  <c r="N35" i="26"/>
  <c r="N36" i="26" s="1"/>
  <c r="N33" i="26"/>
  <c r="O11" i="26"/>
  <c r="N37" i="26"/>
  <c r="N38" i="26" s="1"/>
  <c r="O13" i="26"/>
  <c r="O14" i="26" s="1"/>
  <c r="N39" i="26"/>
  <c r="N40" i="26" s="1"/>
  <c r="M39" i="26"/>
  <c r="M40" i="26"/>
  <c r="O33" i="26"/>
  <c r="N58" i="26"/>
  <c r="N59" i="26" s="1"/>
  <c r="M36" i="26"/>
  <c r="M33" i="26"/>
  <c r="M34" i="26"/>
  <c r="M35" i="26"/>
  <c r="M37" i="26"/>
  <c r="M17" i="26"/>
  <c r="M11" i="26"/>
  <c r="M13" i="26"/>
  <c r="M15" i="26"/>
  <c r="M16" i="26"/>
  <c r="N8" i="17"/>
  <c r="G214" i="23" l="1"/>
  <c r="G248" i="23" s="1"/>
  <c r="H180" i="23"/>
  <c r="H214" i="23" s="1"/>
  <c r="H248" i="23" s="1"/>
  <c r="Q87" i="26"/>
  <c r="H56" i="26"/>
  <c r="R87" i="26" s="1"/>
  <c r="P99" i="26"/>
  <c r="P200" i="29"/>
  <c r="Q210" i="29"/>
  <c r="Q196" i="29"/>
  <c r="H145" i="29"/>
  <c r="R209" i="29"/>
  <c r="S209" i="29" s="1"/>
  <c r="R195" i="29"/>
  <c r="S195" i="29" s="1"/>
  <c r="H133" i="29"/>
  <c r="Q206" i="29"/>
  <c r="Q192" i="29"/>
  <c r="P214" i="29"/>
  <c r="H135" i="29"/>
  <c r="Q207" i="29"/>
  <c r="Q193" i="29"/>
  <c r="N215" i="29"/>
  <c r="N201" i="29"/>
  <c r="O201" i="29" s="1"/>
  <c r="R211" i="29"/>
  <c r="S211" i="29" s="1"/>
  <c r="R197" i="29"/>
  <c r="S197" i="29" s="1"/>
  <c r="R194" i="29"/>
  <c r="S194" i="29" s="1"/>
  <c r="R208" i="29"/>
  <c r="S208" i="29" s="1"/>
  <c r="I314" i="23"/>
  <c r="S90" i="23" s="1"/>
  <c r="H60" i="26"/>
  <c r="Q93" i="26"/>
  <c r="H176" i="23"/>
  <c r="P85" i="23"/>
  <c r="U85" i="23" s="1"/>
  <c r="W5" i="17"/>
  <c r="AA5" i="17" s="1"/>
  <c r="AE5" i="17" s="1"/>
  <c r="AI5" i="17" s="1"/>
  <c r="AM5" i="17" s="1"/>
  <c r="N24" i="17"/>
  <c r="N15" i="17" s="1"/>
  <c r="C17" i="28"/>
  <c r="O188" i="29"/>
  <c r="O189" i="29" s="1"/>
  <c r="E20" i="22"/>
  <c r="N202" i="29"/>
  <c r="C20" i="22"/>
  <c r="N216" i="29"/>
  <c r="O216" i="29" s="1"/>
  <c r="C21" i="22"/>
  <c r="E22" i="22" s="1"/>
  <c r="R5" i="29"/>
  <c r="F89" i="32"/>
  <c r="H89" i="32"/>
  <c r="H329" i="23"/>
  <c r="G363" i="23"/>
  <c r="G397" i="23" s="1"/>
  <c r="H344" i="23"/>
  <c r="G378" i="23"/>
  <c r="G412" i="23" s="1"/>
  <c r="H324" i="23"/>
  <c r="G358" i="23"/>
  <c r="G392" i="23" s="1"/>
  <c r="H341" i="23"/>
  <c r="G375" i="23"/>
  <c r="G409" i="23" s="1"/>
  <c r="H348" i="23"/>
  <c r="G382" i="23"/>
  <c r="G416" i="23" s="1"/>
  <c r="H334" i="23"/>
  <c r="G368" i="23"/>
  <c r="G402" i="23" s="1"/>
  <c r="H346" i="23"/>
  <c r="G380" i="23"/>
  <c r="G414" i="23" s="1"/>
  <c r="H345" i="23"/>
  <c r="G379" i="23"/>
  <c r="G413" i="23" s="1"/>
  <c r="H330" i="23"/>
  <c r="G364" i="23"/>
  <c r="G398" i="23" s="1"/>
  <c r="H340" i="23"/>
  <c r="G374" i="23"/>
  <c r="G408" i="23" s="1"/>
  <c r="H353" i="23"/>
  <c r="G387" i="23"/>
  <c r="G421" i="23" s="1"/>
  <c r="H327" i="23"/>
  <c r="G361" i="23"/>
  <c r="G395" i="23" s="1"/>
  <c r="H350" i="23"/>
  <c r="G384" i="23"/>
  <c r="G418" i="23" s="1"/>
  <c r="H337" i="23"/>
  <c r="G371" i="23"/>
  <c r="G405" i="23" s="1"/>
  <c r="H336" i="23"/>
  <c r="G370" i="23"/>
  <c r="G404" i="23" s="1"/>
  <c r="H352" i="23"/>
  <c r="G386" i="23"/>
  <c r="G420" i="23" s="1"/>
  <c r="H354" i="23"/>
  <c r="G388" i="23"/>
  <c r="G422" i="23" s="1"/>
  <c r="H349" i="23"/>
  <c r="G383" i="23"/>
  <c r="G417" i="23" s="1"/>
  <c r="H326" i="23"/>
  <c r="G360" i="23"/>
  <c r="G394" i="23" s="1"/>
  <c r="H342" i="23"/>
  <c r="G376" i="23"/>
  <c r="G410" i="23" s="1"/>
  <c r="H333" i="23"/>
  <c r="G367" i="23"/>
  <c r="G401" i="23" s="1"/>
  <c r="H335" i="23"/>
  <c r="G369" i="23"/>
  <c r="G403" i="23" s="1"/>
  <c r="H343" i="23"/>
  <c r="G377" i="23"/>
  <c r="G411" i="23" s="1"/>
  <c r="H332" i="23"/>
  <c r="G366" i="23"/>
  <c r="G400" i="23" s="1"/>
  <c r="H339" i="23"/>
  <c r="G373" i="23"/>
  <c r="G407" i="23" s="1"/>
  <c r="H347" i="23"/>
  <c r="G381" i="23"/>
  <c r="G415" i="23" s="1"/>
  <c r="H325" i="23"/>
  <c r="G359" i="23"/>
  <c r="G393" i="23" s="1"/>
  <c r="H331" i="23"/>
  <c r="G365" i="23"/>
  <c r="G399" i="23" s="1"/>
  <c r="F423" i="23"/>
  <c r="R91" i="23" s="1"/>
  <c r="H328" i="23"/>
  <c r="G362" i="23"/>
  <c r="G396" i="23" s="1"/>
  <c r="H338" i="23"/>
  <c r="G372" i="23"/>
  <c r="G406" i="23" s="1"/>
  <c r="H351" i="23"/>
  <c r="G385" i="23"/>
  <c r="G419" i="23" s="1"/>
  <c r="E17" i="28"/>
  <c r="O51" i="26"/>
  <c r="N51" i="26"/>
  <c r="O29" i="26"/>
  <c r="N12" i="26"/>
  <c r="N30" i="26" s="1"/>
  <c r="N70" i="26" s="1"/>
  <c r="N29" i="26"/>
  <c r="E103" i="23" a="1"/>
  <c r="E103" i="23" s="1"/>
  <c r="G102" i="23"/>
  <c r="H102" i="23" s="1"/>
  <c r="M4" i="32"/>
  <c r="U26" i="31" s="1"/>
  <c r="N188" i="29"/>
  <c r="N189" i="29" s="1"/>
  <c r="L4" i="32"/>
  <c r="S26" i="31" s="1"/>
  <c r="E41" i="31"/>
  <c r="D19" i="32"/>
  <c r="R4" i="29"/>
  <c r="O71" i="26"/>
  <c r="O69" i="26"/>
  <c r="N69" i="26"/>
  <c r="N81" i="26"/>
  <c r="N71" i="26"/>
  <c r="E168" i="23"/>
  <c r="D184" i="23"/>
  <c r="F135" i="23" s="1"/>
  <c r="G182" i="23"/>
  <c r="I133" i="23" s="1"/>
  <c r="F216" i="23"/>
  <c r="F250" i="23" s="1"/>
  <c r="G181" i="23"/>
  <c r="I132" i="23" s="1"/>
  <c r="F215" i="23"/>
  <c r="F249" i="23" s="1"/>
  <c r="E183" i="23"/>
  <c r="G134" i="23" s="1"/>
  <c r="D217" i="23"/>
  <c r="D251" i="23" s="1"/>
  <c r="F101" i="23"/>
  <c r="S6" i="17"/>
  <c r="W6" i="17" s="1"/>
  <c r="AA6" i="17" s="1"/>
  <c r="AE6" i="17" s="1"/>
  <c r="AI6" i="17" s="1"/>
  <c r="AM6" i="17" s="1"/>
  <c r="N16" i="17"/>
  <c r="N7" i="17" s="1"/>
  <c r="N66" i="26"/>
  <c r="C18" i="28" s="1"/>
  <c r="O66" i="26"/>
  <c r="E18" i="28" s="1"/>
  <c r="O81" i="26"/>
  <c r="N34" i="26"/>
  <c r="O34" i="26"/>
  <c r="O12" i="26"/>
  <c r="S87" i="26" l="1"/>
  <c r="E28" i="28"/>
  <c r="U36" i="31"/>
  <c r="C28" i="28"/>
  <c r="S36" i="31"/>
  <c r="N25" i="17"/>
  <c r="R105" i="26"/>
  <c r="S105" i="26" s="1"/>
  <c r="J131" i="23"/>
  <c r="Q99" i="26"/>
  <c r="N28" i="17"/>
  <c r="Q200" i="29"/>
  <c r="Q214" i="29"/>
  <c r="R206" i="29"/>
  <c r="R192" i="29"/>
  <c r="O215" i="29"/>
  <c r="O217" i="29" s="1"/>
  <c r="O202" i="29"/>
  <c r="O203" i="29" s="1"/>
  <c r="R210" i="29"/>
  <c r="S210" i="29" s="1"/>
  <c r="R196" i="29"/>
  <c r="S196" i="29" s="1"/>
  <c r="R207" i="29"/>
  <c r="S207" i="29" s="1"/>
  <c r="R193" i="29"/>
  <c r="S193" i="29" s="1"/>
  <c r="P201" i="29"/>
  <c r="Q201" i="29" s="1"/>
  <c r="P216" i="29"/>
  <c r="H383" i="23"/>
  <c r="H417" i="23" s="1"/>
  <c r="J308" i="23"/>
  <c r="H362" i="23"/>
  <c r="H396" i="23" s="1"/>
  <c r="J287" i="23"/>
  <c r="H377" i="23"/>
  <c r="H411" i="23" s="1"/>
  <c r="J302" i="23"/>
  <c r="H388" i="23"/>
  <c r="H422" i="23" s="1"/>
  <c r="J313" i="23"/>
  <c r="H387" i="23"/>
  <c r="H421" i="23" s="1"/>
  <c r="J312" i="23"/>
  <c r="H382" i="23"/>
  <c r="H416" i="23" s="1"/>
  <c r="J307" i="23"/>
  <c r="H365" i="23"/>
  <c r="H399" i="23" s="1"/>
  <c r="J290" i="23"/>
  <c r="H369" i="23"/>
  <c r="H403" i="23" s="1"/>
  <c r="J294" i="23"/>
  <c r="H386" i="23"/>
  <c r="H420" i="23" s="1"/>
  <c r="J311" i="23"/>
  <c r="H374" i="23"/>
  <c r="H408" i="23" s="1"/>
  <c r="J299" i="23"/>
  <c r="H375" i="23"/>
  <c r="H409" i="23" s="1"/>
  <c r="J300" i="23"/>
  <c r="H366" i="23"/>
  <c r="H400" i="23" s="1"/>
  <c r="J291" i="23"/>
  <c r="H361" i="23"/>
  <c r="H395" i="23" s="1"/>
  <c r="J286" i="23"/>
  <c r="H359" i="23"/>
  <c r="H393" i="23" s="1"/>
  <c r="J284" i="23"/>
  <c r="H367" i="23"/>
  <c r="H401" i="23" s="1"/>
  <c r="J292" i="23"/>
  <c r="H370" i="23"/>
  <c r="H404" i="23" s="1"/>
  <c r="J295" i="23"/>
  <c r="H364" i="23"/>
  <c r="H398" i="23" s="1"/>
  <c r="J289" i="23"/>
  <c r="H358" i="23"/>
  <c r="H392" i="23" s="1"/>
  <c r="J283" i="23"/>
  <c r="H372" i="23"/>
  <c r="H406" i="23" s="1"/>
  <c r="J297" i="23"/>
  <c r="H368" i="23"/>
  <c r="H402" i="23" s="1"/>
  <c r="J293" i="23"/>
  <c r="H381" i="23"/>
  <c r="H415" i="23" s="1"/>
  <c r="J306" i="23"/>
  <c r="H376" i="23"/>
  <c r="H410" i="23" s="1"/>
  <c r="J301" i="23"/>
  <c r="H371" i="23"/>
  <c r="H405" i="23" s="1"/>
  <c r="J296" i="23"/>
  <c r="H379" i="23"/>
  <c r="H413" i="23" s="1"/>
  <c r="J304" i="23"/>
  <c r="H378" i="23"/>
  <c r="H412" i="23" s="1"/>
  <c r="J303" i="23"/>
  <c r="H385" i="23"/>
  <c r="H419" i="23" s="1"/>
  <c r="J310" i="23"/>
  <c r="H373" i="23"/>
  <c r="H407" i="23" s="1"/>
  <c r="J298" i="23"/>
  <c r="H360" i="23"/>
  <c r="H394" i="23" s="1"/>
  <c r="J285" i="23"/>
  <c r="H384" i="23"/>
  <c r="H418" i="23" s="1"/>
  <c r="J309" i="23"/>
  <c r="H380" i="23"/>
  <c r="H414" i="23" s="1"/>
  <c r="J305" i="23"/>
  <c r="H363" i="23"/>
  <c r="H397" i="23" s="1"/>
  <c r="J288" i="23"/>
  <c r="N107" i="26"/>
  <c r="R93" i="26"/>
  <c r="R99" i="26" s="1"/>
  <c r="R111" i="26"/>
  <c r="N217" i="29"/>
  <c r="S5" i="29" s="1"/>
  <c r="G423" i="23"/>
  <c r="S91" i="23" s="1"/>
  <c r="O52" i="26"/>
  <c r="O72" i="26" s="1"/>
  <c r="O79" i="26" s="1"/>
  <c r="N52" i="26"/>
  <c r="O30" i="26"/>
  <c r="O70" i="26" s="1"/>
  <c r="D20" i="32"/>
  <c r="D90" i="32"/>
  <c r="E104" i="23" a="1"/>
  <c r="E104" i="23" s="1"/>
  <c r="G103" i="23"/>
  <c r="H103" i="23" s="1"/>
  <c r="S7" i="17"/>
  <c r="W7" i="17" s="1"/>
  <c r="AA7" i="17" s="1"/>
  <c r="AE7" i="17" s="1"/>
  <c r="AI7" i="17" s="1"/>
  <c r="AM7" i="17" s="1"/>
  <c r="L5" i="32"/>
  <c r="S27" i="31" s="1"/>
  <c r="M5" i="32"/>
  <c r="U27" i="31" s="1"/>
  <c r="N203" i="29"/>
  <c r="S4" i="29" s="1"/>
  <c r="D185" i="23"/>
  <c r="F136" i="23" s="1"/>
  <c r="E217" i="23"/>
  <c r="E251" i="23" s="1"/>
  <c r="F183" i="23"/>
  <c r="H134" i="23" s="1"/>
  <c r="H181" i="23"/>
  <c r="G215" i="23"/>
  <c r="G249" i="23" s="1"/>
  <c r="H182" i="23"/>
  <c r="G216" i="23"/>
  <c r="G250" i="23" s="1"/>
  <c r="E184" i="23"/>
  <c r="G135" i="23" s="1"/>
  <c r="D218" i="23"/>
  <c r="D252" i="23" s="1"/>
  <c r="F102" i="23"/>
  <c r="N17" i="17"/>
  <c r="N36" i="17"/>
  <c r="N37" i="17" s="1"/>
  <c r="N38" i="17" s="1"/>
  <c r="N39" i="17" s="1"/>
  <c r="N40" i="17" s="1"/>
  <c r="N76" i="26"/>
  <c r="N77" i="26"/>
  <c r="N20" i="17"/>
  <c r="N10" i="17" s="1"/>
  <c r="R117" i="26" l="1"/>
  <c r="S99" i="26"/>
  <c r="R200" i="29"/>
  <c r="R201" i="29"/>
  <c r="S201" i="29" s="1"/>
  <c r="R214" i="29"/>
  <c r="T4" i="29"/>
  <c r="T5" i="29"/>
  <c r="Q216" i="29"/>
  <c r="R216" i="29" s="1"/>
  <c r="S216" i="29" s="1"/>
  <c r="P202" i="29"/>
  <c r="S192" i="29"/>
  <c r="S200" i="29" s="1"/>
  <c r="S206" i="29"/>
  <c r="S214" i="29" s="1"/>
  <c r="P215" i="29"/>
  <c r="P217" i="29" s="1"/>
  <c r="H423" i="23"/>
  <c r="T91" i="23" s="1"/>
  <c r="U91" i="23" s="1"/>
  <c r="H215" i="23"/>
  <c r="H249" i="23" s="1"/>
  <c r="J132" i="23"/>
  <c r="J314" i="23"/>
  <c r="T90" i="23" s="1"/>
  <c r="H216" i="23"/>
  <c r="H250" i="23" s="1"/>
  <c r="J133" i="23"/>
  <c r="N89" i="26"/>
  <c r="O89" i="26" s="1"/>
  <c r="P89" i="26" s="1"/>
  <c r="O107" i="26"/>
  <c r="P107" i="26" s="1"/>
  <c r="Q107" i="26" s="1"/>
  <c r="N95" i="26"/>
  <c r="O95" i="26" s="1"/>
  <c r="S117" i="26"/>
  <c r="N106" i="26"/>
  <c r="N108" i="26" s="1"/>
  <c r="S111" i="26"/>
  <c r="N55" i="26"/>
  <c r="C19" i="28" s="1"/>
  <c r="N72" i="26"/>
  <c r="N73" i="26" s="1"/>
  <c r="C20" i="28" s="1"/>
  <c r="S93" i="26"/>
  <c r="F90" i="32"/>
  <c r="H90" i="32"/>
  <c r="N79" i="26"/>
  <c r="N82" i="26" s="1"/>
  <c r="F71" i="32"/>
  <c r="F68" i="32"/>
  <c r="F70" i="32"/>
  <c r="F72" i="32"/>
  <c r="F69" i="32"/>
  <c r="O80" i="26"/>
  <c r="N80" i="26"/>
  <c r="O55" i="26"/>
  <c r="O73" i="26"/>
  <c r="E20" i="28" s="1"/>
  <c r="O76" i="26"/>
  <c r="O82" i="26" s="1"/>
  <c r="O77" i="26"/>
  <c r="D21" i="32"/>
  <c r="D91" i="32"/>
  <c r="E105" i="23" a="1"/>
  <c r="E105" i="23" s="1"/>
  <c r="G104" i="23"/>
  <c r="H104" i="23" s="1"/>
  <c r="S8" i="17"/>
  <c r="W8" i="17" s="1"/>
  <c r="AA8" i="17" s="1"/>
  <c r="AE8" i="17" s="1"/>
  <c r="AI8" i="17" s="1"/>
  <c r="AM8" i="17" s="1"/>
  <c r="N78" i="26"/>
  <c r="F184" i="23"/>
  <c r="H135" i="23" s="1"/>
  <c r="E218" i="23"/>
  <c r="E252" i="23" s="1"/>
  <c r="G183" i="23"/>
  <c r="I134" i="23" s="1"/>
  <c r="F217" i="23"/>
  <c r="F251" i="23" s="1"/>
  <c r="D186" i="23"/>
  <c r="F137" i="23" s="1"/>
  <c r="E185" i="23"/>
  <c r="G136" i="23" s="1"/>
  <c r="D219" i="23"/>
  <c r="D253" i="23" s="1"/>
  <c r="F103" i="23"/>
  <c r="D62" i="17"/>
  <c r="D61" i="17"/>
  <c r="D60" i="17"/>
  <c r="D59" i="17"/>
  <c r="D48" i="17"/>
  <c r="D47" i="17"/>
  <c r="D44" i="17"/>
  <c r="E35" i="17"/>
  <c r="E34" i="17"/>
  <c r="E33" i="17"/>
  <c r="D35" i="17"/>
  <c r="D34" i="17"/>
  <c r="D33" i="17"/>
  <c r="D32" i="17"/>
  <c r="C35" i="17"/>
  <c r="C34" i="17"/>
  <c r="C33" i="17"/>
  <c r="C32" i="17"/>
  <c r="R5" i="17"/>
  <c r="V5" i="17" s="1"/>
  <c r="Z5" i="17" s="1"/>
  <c r="AD5" i="17" s="1"/>
  <c r="AH5" i="17" s="1"/>
  <c r="AL5" i="17" s="1"/>
  <c r="D4" i="17"/>
  <c r="C27" i="28" l="1"/>
  <c r="S35" i="31"/>
  <c r="Q215" i="29"/>
  <c r="Q217" i="29" s="1"/>
  <c r="L6" i="32"/>
  <c r="S28" i="31" s="1"/>
  <c r="Q202" i="29"/>
  <c r="Q203" i="29" s="1"/>
  <c r="P203" i="29"/>
  <c r="U4" i="29" s="1"/>
  <c r="U5" i="29"/>
  <c r="U90" i="23"/>
  <c r="N101" i="26"/>
  <c r="O101" i="26"/>
  <c r="Q89" i="26"/>
  <c r="R89" i="26" s="1"/>
  <c r="S89" i="26" s="1"/>
  <c r="N94" i="26"/>
  <c r="N96" i="26" s="1"/>
  <c r="N113" i="26"/>
  <c r="P95" i="26"/>
  <c r="P101" i="26" s="1"/>
  <c r="O78" i="26"/>
  <c r="N88" i="26"/>
  <c r="O88" i="26" s="1"/>
  <c r="R107" i="26"/>
  <c r="O106" i="26"/>
  <c r="M7" i="32"/>
  <c r="U29" i="31" s="1"/>
  <c r="F91" i="32"/>
  <c r="H91" i="32"/>
  <c r="E21" i="28"/>
  <c r="S5" i="26"/>
  <c r="C21" i="28"/>
  <c r="S6" i="26"/>
  <c r="N83" i="26"/>
  <c r="N84" i="26" s="1"/>
  <c r="N112" i="26"/>
  <c r="O112" i="26" s="1"/>
  <c r="L7" i="32"/>
  <c r="S29" i="31" s="1"/>
  <c r="M6" i="32"/>
  <c r="U28" i="31" s="1"/>
  <c r="E19" i="28"/>
  <c r="M30" i="17"/>
  <c r="N30" i="17"/>
  <c r="N31" i="17" s="1"/>
  <c r="O83" i="26"/>
  <c r="O84" i="26" s="1"/>
  <c r="C5" i="33"/>
  <c r="N82" i="17"/>
  <c r="N83" i="17" s="1"/>
  <c r="M76" i="17"/>
  <c r="M77" i="17" s="1"/>
  <c r="N84" i="17"/>
  <c r="N85" i="17" s="1"/>
  <c r="N76" i="17"/>
  <c r="N77" i="17" s="1"/>
  <c r="M82" i="17"/>
  <c r="M83" i="17" s="1"/>
  <c r="M80" i="17"/>
  <c r="M81" i="17" s="1"/>
  <c r="N78" i="17"/>
  <c r="N79" i="17" s="1"/>
  <c r="M78" i="17"/>
  <c r="M79" i="17" s="1"/>
  <c r="M84" i="17"/>
  <c r="M85" i="17" s="1"/>
  <c r="N80" i="17"/>
  <c r="N81" i="17" s="1"/>
  <c r="D22" i="32"/>
  <c r="E52" i="31" s="1"/>
  <c r="D92" i="32"/>
  <c r="E106" i="23" a="1"/>
  <c r="E106" i="23" s="1"/>
  <c r="G105" i="23"/>
  <c r="H105" i="23" s="1"/>
  <c r="C19" i="32"/>
  <c r="C89" i="32"/>
  <c r="N45" i="17"/>
  <c r="N47" i="17" s="1"/>
  <c r="N44" i="17"/>
  <c r="N46" i="17" s="1"/>
  <c r="S9" i="17"/>
  <c r="W9" i="17" s="1"/>
  <c r="AA9" i="17" s="1"/>
  <c r="AE9" i="17" s="1"/>
  <c r="AI9" i="17" s="1"/>
  <c r="AM9" i="17" s="1"/>
  <c r="M8" i="32"/>
  <c r="L8" i="32"/>
  <c r="F185" i="23"/>
  <c r="H136" i="23" s="1"/>
  <c r="E219" i="23"/>
  <c r="E253" i="23" s="1"/>
  <c r="D220" i="23"/>
  <c r="D254" i="23" s="1"/>
  <c r="E186" i="23"/>
  <c r="G137" i="23" s="1"/>
  <c r="H183" i="23"/>
  <c r="G217" i="23"/>
  <c r="G251" i="23" s="1"/>
  <c r="D187" i="23"/>
  <c r="F138" i="23" s="1"/>
  <c r="G184" i="23"/>
  <c r="I135" i="23" s="1"/>
  <c r="F218" i="23"/>
  <c r="F252" i="23" s="1"/>
  <c r="F104" i="23"/>
  <c r="N11" i="17"/>
  <c r="N12" i="17" s="1"/>
  <c r="N18" i="17"/>
  <c r="N19" i="17" s="1"/>
  <c r="N26" i="17"/>
  <c r="N27" i="17" s="1"/>
  <c r="N64" i="17"/>
  <c r="N65" i="17" s="1"/>
  <c r="C124" i="32" s="1"/>
  <c r="N51" i="17"/>
  <c r="N52" i="17" s="1"/>
  <c r="N74" i="17"/>
  <c r="N75" i="17" s="1"/>
  <c r="N68" i="17"/>
  <c r="N62" i="17"/>
  <c r="N63" i="17" s="1"/>
  <c r="C123" i="32" s="1"/>
  <c r="N72" i="17"/>
  <c r="N73" i="17" s="1"/>
  <c r="N70" i="17"/>
  <c r="N71" i="17" s="1"/>
  <c r="N4" i="17"/>
  <c r="E16" i="1" s="1"/>
  <c r="E27" i="28" l="1"/>
  <c r="U35" i="31"/>
  <c r="V5" i="29"/>
  <c r="R215" i="29"/>
  <c r="R217" i="29" s="1"/>
  <c r="V4" i="29"/>
  <c r="R202" i="29"/>
  <c r="Q95" i="26"/>
  <c r="Q101" i="26" s="1"/>
  <c r="H217" i="23"/>
  <c r="H251" i="23" s="1"/>
  <c r="J134" i="23"/>
  <c r="O94" i="26"/>
  <c r="O96" i="26" s="1"/>
  <c r="Y65" i="31"/>
  <c r="O90" i="26"/>
  <c r="P88" i="26"/>
  <c r="N119" i="26"/>
  <c r="N100" i="26"/>
  <c r="O118" i="26"/>
  <c r="O108" i="26"/>
  <c r="P112" i="26"/>
  <c r="N118" i="26"/>
  <c r="P106" i="26"/>
  <c r="O113" i="26"/>
  <c r="O114" i="26" s="1"/>
  <c r="S107" i="26"/>
  <c r="M13" i="32"/>
  <c r="E22" i="28"/>
  <c r="Y64" i="31"/>
  <c r="L13" i="32"/>
  <c r="F92" i="32"/>
  <c r="H92" i="32"/>
  <c r="N114" i="26"/>
  <c r="K22" i="30"/>
  <c r="K24" i="30" s="1"/>
  <c r="J22" i="30"/>
  <c r="J24" i="30" s="1"/>
  <c r="L22" i="30"/>
  <c r="L24" i="30" s="1"/>
  <c r="K33" i="30"/>
  <c r="D14" i="32"/>
  <c r="D7" i="32" s="1"/>
  <c r="E19" i="1"/>
  <c r="N90" i="26"/>
  <c r="N69" i="17"/>
  <c r="N86" i="17" s="1"/>
  <c r="S10" i="17"/>
  <c r="E17" i="31" s="1"/>
  <c r="D93" i="32"/>
  <c r="E107" i="23" a="1"/>
  <c r="E107" i="23" s="1"/>
  <c r="G106" i="23"/>
  <c r="H106" i="23" s="1"/>
  <c r="N48" i="17"/>
  <c r="D23" i="32"/>
  <c r="D4" i="32"/>
  <c r="E28" i="31" s="1"/>
  <c r="S30" i="31"/>
  <c r="X13" i="32"/>
  <c r="U30" i="31"/>
  <c r="Y13" i="32"/>
  <c r="AJ9" i="31" s="1"/>
  <c r="D15" i="30" s="1"/>
  <c r="N33" i="17"/>
  <c r="E17" i="1" s="1"/>
  <c r="N66" i="17"/>
  <c r="E21" i="1" s="1"/>
  <c r="H184" i="23"/>
  <c r="G218" i="23"/>
  <c r="G252" i="23" s="1"/>
  <c r="F186" i="23"/>
  <c r="H137" i="23" s="1"/>
  <c r="E220" i="23"/>
  <c r="E254" i="23" s="1"/>
  <c r="E187" i="23"/>
  <c r="G138" i="23" s="1"/>
  <c r="D221" i="23"/>
  <c r="D255" i="23" s="1"/>
  <c r="D188" i="23"/>
  <c r="F139" i="23" s="1"/>
  <c r="G185" i="23"/>
  <c r="I136" i="23" s="1"/>
  <c r="F219" i="23"/>
  <c r="F253" i="23" s="1"/>
  <c r="F105" i="23"/>
  <c r="AI9" i="31" l="1"/>
  <c r="C15" i="30" s="1"/>
  <c r="V20" i="31" s="1"/>
  <c r="U12" i="31"/>
  <c r="U9" i="31"/>
  <c r="S9" i="31"/>
  <c r="S12" i="31"/>
  <c r="W5" i="29"/>
  <c r="S215" i="29"/>
  <c r="S217" i="29" s="1"/>
  <c r="O100" i="26"/>
  <c r="O102" i="26" s="1"/>
  <c r="P94" i="26"/>
  <c r="Q94" i="26" s="1"/>
  <c r="Q96" i="26" s="1"/>
  <c r="R203" i="29"/>
  <c r="W4" i="29" s="1"/>
  <c r="S202" i="29"/>
  <c r="S203" i="29" s="1"/>
  <c r="R95" i="26"/>
  <c r="R101" i="26" s="1"/>
  <c r="S101" i="26" s="1"/>
  <c r="H218" i="23"/>
  <c r="H252" i="23" s="1"/>
  <c r="J135" i="23"/>
  <c r="Y66" i="31"/>
  <c r="Q106" i="26"/>
  <c r="Q108" i="26" s="1"/>
  <c r="Q112" i="26"/>
  <c r="P90" i="26"/>
  <c r="O119" i="26"/>
  <c r="O120" i="26" s="1"/>
  <c r="P113" i="26"/>
  <c r="P119" i="26" s="1"/>
  <c r="N102" i="26"/>
  <c r="T5" i="26" s="1"/>
  <c r="N120" i="26"/>
  <c r="P118" i="26"/>
  <c r="P108" i="26"/>
  <c r="Q88" i="26"/>
  <c r="N13" i="32"/>
  <c r="S11" i="17"/>
  <c r="S12" i="17" s="1"/>
  <c r="W10" i="17"/>
  <c r="L42" i="30"/>
  <c r="K42" i="30"/>
  <c r="J42" i="30"/>
  <c r="M47" i="30" s="1"/>
  <c r="F93" i="32"/>
  <c r="H93" i="32"/>
  <c r="K23" i="30"/>
  <c r="J23" i="30"/>
  <c r="E31" i="31"/>
  <c r="M22" i="30"/>
  <c r="M23" i="30" s="1"/>
  <c r="L23" i="30"/>
  <c r="N96" i="17"/>
  <c r="E18" i="1"/>
  <c r="N87" i="17"/>
  <c r="J53" i="30"/>
  <c r="E108" i="23" a="1"/>
  <c r="E108" i="23" s="1"/>
  <c r="G107" i="23"/>
  <c r="H107" i="23" s="1"/>
  <c r="D94" i="32"/>
  <c r="D24" i="32"/>
  <c r="Y6" i="32"/>
  <c r="D8" i="32"/>
  <c r="E188" i="23"/>
  <c r="G139" i="23" s="1"/>
  <c r="D222" i="23"/>
  <c r="D256" i="23" s="1"/>
  <c r="G186" i="23"/>
  <c r="I137" i="23" s="1"/>
  <c r="F220" i="23"/>
  <c r="F254" i="23" s="1"/>
  <c r="F187" i="23"/>
  <c r="H138" i="23" s="1"/>
  <c r="E221" i="23"/>
  <c r="E255" i="23" s="1"/>
  <c r="D189" i="23"/>
  <c r="F140" i="23" s="1"/>
  <c r="H185" i="23"/>
  <c r="G219" i="23"/>
  <c r="G253" i="23" s="1"/>
  <c r="F106" i="23"/>
  <c r="K7" i="22"/>
  <c r="L7" i="22" s="1"/>
  <c r="K7" i="20"/>
  <c r="L7" i="20" s="1"/>
  <c r="K7" i="1"/>
  <c r="L7" i="1" s="1"/>
  <c r="U5" i="26" l="1"/>
  <c r="E44" i="22"/>
  <c r="D44" i="22"/>
  <c r="P100" i="26"/>
  <c r="P102" i="26" s="1"/>
  <c r="R94" i="26"/>
  <c r="S94" i="26" s="1"/>
  <c r="P96" i="26"/>
  <c r="D25" i="32"/>
  <c r="S95" i="26"/>
  <c r="H219" i="23"/>
  <c r="H253" i="23" s="1"/>
  <c r="J136" i="23"/>
  <c r="R112" i="26"/>
  <c r="S112" i="26" s="1"/>
  <c r="P120" i="26"/>
  <c r="P114" i="26"/>
  <c r="Q113" i="26"/>
  <c r="Q119" i="26" s="1"/>
  <c r="Q118" i="26"/>
  <c r="T6" i="26"/>
  <c r="U6" i="26" s="1"/>
  <c r="AA64" i="31" s="1"/>
  <c r="R106" i="26"/>
  <c r="R108" i="26" s="1"/>
  <c r="M14" i="32"/>
  <c r="Q100" i="26"/>
  <c r="Q102" i="26" s="1"/>
  <c r="Q90" i="26"/>
  <c r="R88" i="26"/>
  <c r="S88" i="26" s="1"/>
  <c r="S90" i="26" s="1"/>
  <c r="AA10" i="17"/>
  <c r="D96" i="32"/>
  <c r="F96" i="32" s="1"/>
  <c r="W12" i="17"/>
  <c r="AA12" i="17" s="1"/>
  <c r="AE12" i="17" s="1"/>
  <c r="AI12" i="17" s="1"/>
  <c r="AM12" i="17" s="1"/>
  <c r="D95" i="32"/>
  <c r="W11" i="17"/>
  <c r="AA11" i="17" s="1"/>
  <c r="AE11" i="17" s="1"/>
  <c r="AI11" i="17" s="1"/>
  <c r="AM11" i="17" s="1"/>
  <c r="F94" i="32"/>
  <c r="H94" i="32"/>
  <c r="K26" i="30"/>
  <c r="J33" i="30" s="1"/>
  <c r="K35" i="30" s="1"/>
  <c r="M24" i="30"/>
  <c r="N90" i="17"/>
  <c r="E22" i="1"/>
  <c r="E33" i="31"/>
  <c r="J52" i="30"/>
  <c r="E109" i="23" a="1"/>
  <c r="E109" i="23" s="1"/>
  <c r="G108" i="23"/>
  <c r="H108" i="23" s="1"/>
  <c r="Y5" i="32"/>
  <c r="D26" i="32"/>
  <c r="S13" i="17"/>
  <c r="D190" i="23"/>
  <c r="F141" i="23" s="1"/>
  <c r="E189" i="23"/>
  <c r="G140" i="23" s="1"/>
  <c r="D223" i="23"/>
  <c r="D257" i="23" s="1"/>
  <c r="G187" i="23"/>
  <c r="I138" i="23" s="1"/>
  <c r="F221" i="23"/>
  <c r="F255" i="23" s="1"/>
  <c r="H186" i="23"/>
  <c r="G220" i="23"/>
  <c r="G254" i="23" s="1"/>
  <c r="F188" i="23"/>
  <c r="H139" i="23" s="1"/>
  <c r="E222" i="23"/>
  <c r="E256" i="23" s="1"/>
  <c r="F107" i="23"/>
  <c r="L74" i="17"/>
  <c r="L72" i="17"/>
  <c r="L70" i="17"/>
  <c r="L69" i="17"/>
  <c r="V5" i="26" l="1"/>
  <c r="R96" i="26"/>
  <c r="D45" i="22"/>
  <c r="L14" i="32"/>
  <c r="N14" i="32" s="1"/>
  <c r="L15" i="32"/>
  <c r="Q120" i="26"/>
  <c r="V6" i="26"/>
  <c r="L16" i="32" s="1"/>
  <c r="S96" i="26"/>
  <c r="R113" i="26"/>
  <c r="R119" i="26" s="1"/>
  <c r="S119" i="26" s="1"/>
  <c r="H220" i="23"/>
  <c r="H254" i="23" s="1"/>
  <c r="J137" i="23"/>
  <c r="W5" i="26"/>
  <c r="Q114" i="26"/>
  <c r="R118" i="26"/>
  <c r="Z64" i="31"/>
  <c r="S106" i="26"/>
  <c r="S108" i="26" s="1"/>
  <c r="Z65" i="31"/>
  <c r="M15" i="32"/>
  <c r="R100" i="26"/>
  <c r="R102" i="26" s="1"/>
  <c r="R90" i="26"/>
  <c r="H96" i="32"/>
  <c r="AE10" i="17"/>
  <c r="D97" i="32"/>
  <c r="H97" i="32" s="1"/>
  <c r="W13" i="17"/>
  <c r="F95" i="32"/>
  <c r="H95" i="32"/>
  <c r="C20" i="30"/>
  <c r="E110" i="23" a="1"/>
  <c r="E110" i="23" s="1"/>
  <c r="G109" i="23"/>
  <c r="H109" i="23" s="1"/>
  <c r="S14" i="17"/>
  <c r="D27" i="32"/>
  <c r="G188" i="23"/>
  <c r="I139" i="23" s="1"/>
  <c r="F222" i="23"/>
  <c r="F256" i="23" s="1"/>
  <c r="H187" i="23"/>
  <c r="G221" i="23"/>
  <c r="G255" i="23" s="1"/>
  <c r="F189" i="23"/>
  <c r="H140" i="23" s="1"/>
  <c r="E223" i="23"/>
  <c r="E257" i="23" s="1"/>
  <c r="E190" i="23"/>
  <c r="G141" i="23" s="1"/>
  <c r="D224" i="23"/>
  <c r="D258" i="23" s="1"/>
  <c r="D191" i="23"/>
  <c r="F142" i="23" s="1"/>
  <c r="F108" i="23"/>
  <c r="M44" i="17"/>
  <c r="M18" i="17"/>
  <c r="M74" i="17"/>
  <c r="M38" i="17"/>
  <c r="M70" i="17"/>
  <c r="M72" i="17"/>
  <c r="L75" i="17"/>
  <c r="L71" i="17"/>
  <c r="L73" i="17"/>
  <c r="L68" i="17"/>
  <c r="N15" i="32" l="1"/>
  <c r="AB64" i="31"/>
  <c r="W6" i="26"/>
  <c r="AC64" i="31" s="1"/>
  <c r="R114" i="26"/>
  <c r="S113" i="26"/>
  <c r="S114" i="26" s="1"/>
  <c r="R120" i="26"/>
  <c r="H221" i="23"/>
  <c r="H255" i="23" s="1"/>
  <c r="J138" i="23"/>
  <c r="X5" i="26"/>
  <c r="Z66" i="31"/>
  <c r="S118" i="26"/>
  <c r="S120" i="26" s="1"/>
  <c r="T51" i="31" s="1"/>
  <c r="S100" i="26"/>
  <c r="S102" i="26" s="1"/>
  <c r="U51" i="31" s="1"/>
  <c r="AA65" i="31"/>
  <c r="AA66" i="31" s="1"/>
  <c r="M16" i="32"/>
  <c r="N16" i="32" s="1"/>
  <c r="F97" i="32"/>
  <c r="AA13" i="17"/>
  <c r="M99" i="17"/>
  <c r="AI10" i="17"/>
  <c r="AM10" i="17" s="1"/>
  <c r="D98" i="32"/>
  <c r="H98" i="32" s="1"/>
  <c r="W14" i="17"/>
  <c r="AA14" i="17" s="1"/>
  <c r="AE14" i="17" s="1"/>
  <c r="AI14" i="17" s="1"/>
  <c r="AM14" i="17" s="1"/>
  <c r="E111" i="23" a="1"/>
  <c r="E111" i="23" s="1"/>
  <c r="G110" i="23"/>
  <c r="H110" i="23" s="1"/>
  <c r="D28" i="32"/>
  <c r="S15" i="17"/>
  <c r="D192" i="23"/>
  <c r="F143" i="23" s="1"/>
  <c r="E191" i="23"/>
  <c r="G142" i="23" s="1"/>
  <c r="D225" i="23"/>
  <c r="D259" i="23" s="1"/>
  <c r="F190" i="23"/>
  <c r="H141" i="23" s="1"/>
  <c r="E224" i="23"/>
  <c r="E258" i="23" s="1"/>
  <c r="G189" i="23"/>
  <c r="I140" i="23" s="1"/>
  <c r="F223" i="23"/>
  <c r="F257" i="23" s="1"/>
  <c r="H188" i="23"/>
  <c r="G222" i="23"/>
  <c r="G256" i="23" s="1"/>
  <c r="F109" i="23"/>
  <c r="M71" i="17"/>
  <c r="M75" i="17"/>
  <c r="M73" i="17"/>
  <c r="M68" i="17"/>
  <c r="L17" i="32" l="1"/>
  <c r="X6" i="26"/>
  <c r="L18" i="32" s="1"/>
  <c r="H222" i="23"/>
  <c r="H256" i="23" s="1"/>
  <c r="J139" i="23"/>
  <c r="E43" i="28"/>
  <c r="U52" i="31"/>
  <c r="D43" i="28"/>
  <c r="T52" i="31"/>
  <c r="AB65" i="31"/>
  <c r="AB66" i="31" s="1"/>
  <c r="M17" i="32"/>
  <c r="F98" i="32"/>
  <c r="AE13" i="17"/>
  <c r="N99" i="17"/>
  <c r="D99" i="32"/>
  <c r="H99" i="32" s="1"/>
  <c r="W15" i="17"/>
  <c r="AA15" i="17" s="1"/>
  <c r="AE15" i="17" s="1"/>
  <c r="AI15" i="17" s="1"/>
  <c r="AM15" i="17" s="1"/>
  <c r="E112" i="23" a="1"/>
  <c r="E112" i="23" s="1"/>
  <c r="G111" i="23"/>
  <c r="H111" i="23" s="1"/>
  <c r="D29" i="32"/>
  <c r="E53" i="31" s="1"/>
  <c r="S16" i="17"/>
  <c r="D193" i="23"/>
  <c r="F144" i="23" s="1"/>
  <c r="H189" i="23"/>
  <c r="G223" i="23"/>
  <c r="G257" i="23" s="1"/>
  <c r="G190" i="23"/>
  <c r="I141" i="23" s="1"/>
  <c r="F224" i="23"/>
  <c r="F258" i="23" s="1"/>
  <c r="F191" i="23"/>
  <c r="H142" i="23" s="1"/>
  <c r="E225" i="23"/>
  <c r="E259" i="23" s="1"/>
  <c r="D226" i="23"/>
  <c r="D260" i="23" s="1"/>
  <c r="E192" i="23"/>
  <c r="G143" i="23" s="1"/>
  <c r="F110" i="23"/>
  <c r="P15" i="23"/>
  <c r="M62" i="17"/>
  <c r="M64" i="17"/>
  <c r="M69" i="17"/>
  <c r="M86" i="17" s="1"/>
  <c r="M31" i="17"/>
  <c r="M11" i="17"/>
  <c r="M26" i="17"/>
  <c r="M8" i="17"/>
  <c r="M51" i="17"/>
  <c r="M45" i="17"/>
  <c r="N17" i="32" l="1"/>
  <c r="AD64" i="31"/>
  <c r="D44" i="28"/>
  <c r="H223" i="23"/>
  <c r="H257" i="23" s="1"/>
  <c r="J140" i="23"/>
  <c r="T53" i="31"/>
  <c r="AC65" i="31"/>
  <c r="AC66" i="31" s="1"/>
  <c r="F99" i="32"/>
  <c r="AI13" i="17"/>
  <c r="O99" i="17"/>
  <c r="D100" i="32"/>
  <c r="H100" i="32" s="1"/>
  <c r="W16" i="17"/>
  <c r="AA16" i="17" s="1"/>
  <c r="AE16" i="17" s="1"/>
  <c r="AI16" i="17" s="1"/>
  <c r="AM16" i="17" s="1"/>
  <c r="D66" i="32"/>
  <c r="F66" i="32" s="1"/>
  <c r="D65" i="32"/>
  <c r="F65" i="32" s="1"/>
  <c r="D67" i="32"/>
  <c r="F67" i="32" s="1"/>
  <c r="D64" i="32"/>
  <c r="F64" i="32" s="1"/>
  <c r="D63" i="32"/>
  <c r="F63" i="32" s="1"/>
  <c r="M87" i="17"/>
  <c r="C22" i="1" s="1"/>
  <c r="E113" i="23" a="1"/>
  <c r="E113" i="23" s="1"/>
  <c r="G112" i="23"/>
  <c r="H112" i="23" s="1"/>
  <c r="D30" i="32"/>
  <c r="S17" i="17"/>
  <c r="D194" i="23"/>
  <c r="F145" i="23" s="1"/>
  <c r="F192" i="23"/>
  <c r="H143" i="23" s="1"/>
  <c r="E226" i="23"/>
  <c r="E260" i="23" s="1"/>
  <c r="H190" i="23"/>
  <c r="G224" i="23"/>
  <c r="G258" i="23" s="1"/>
  <c r="E193" i="23"/>
  <c r="G144" i="23" s="1"/>
  <c r="D227" i="23"/>
  <c r="D261" i="23" s="1"/>
  <c r="G191" i="23"/>
  <c r="I142" i="23" s="1"/>
  <c r="F225" i="23"/>
  <c r="F259" i="23" s="1"/>
  <c r="F111" i="23"/>
  <c r="M65" i="17"/>
  <c r="P16" i="23"/>
  <c r="P17" i="23" s="1"/>
  <c r="P7" i="23" s="1"/>
  <c r="C18" i="20" s="1"/>
  <c r="M63" i="17"/>
  <c r="M52" i="17"/>
  <c r="M39" i="17"/>
  <c r="M40" i="17" s="1"/>
  <c r="M4" i="17"/>
  <c r="C16" i="1" s="1"/>
  <c r="M9" i="17"/>
  <c r="H224" i="23" l="1"/>
  <c r="H258" i="23" s="1"/>
  <c r="J141" i="23"/>
  <c r="AD65" i="31"/>
  <c r="AD66" i="31" s="1"/>
  <c r="M18" i="32"/>
  <c r="N18" i="32" s="1"/>
  <c r="N19" i="32" s="1"/>
  <c r="F100" i="32"/>
  <c r="P99" i="17"/>
  <c r="AM13" i="17"/>
  <c r="Q99" i="17" s="1"/>
  <c r="D101" i="32"/>
  <c r="H101" i="32" s="1"/>
  <c r="W17" i="17"/>
  <c r="AA17" i="17" s="1"/>
  <c r="AE17" i="17" s="1"/>
  <c r="AI17" i="17" s="1"/>
  <c r="AM17" i="17" s="1"/>
  <c r="R6" i="17"/>
  <c r="V6" i="17" s="1"/>
  <c r="Z6" i="17" s="1"/>
  <c r="AD6" i="17" s="1"/>
  <c r="AH6" i="17" s="1"/>
  <c r="AL6" i="17" s="1"/>
  <c r="C14" i="32"/>
  <c r="C7" i="32" s="1"/>
  <c r="C19" i="1"/>
  <c r="E114" i="23" a="1"/>
  <c r="E114" i="23" s="1"/>
  <c r="G113" i="23"/>
  <c r="H113" i="23" s="1"/>
  <c r="M24" i="17"/>
  <c r="M28" i="17" s="1"/>
  <c r="M16" i="17"/>
  <c r="C20" i="17" s="1"/>
  <c r="C9" i="32"/>
  <c r="X7" i="32" s="1"/>
  <c r="D31" i="32"/>
  <c r="S18" i="17"/>
  <c r="P5" i="23"/>
  <c r="C16" i="20" s="1"/>
  <c r="D195" i="23"/>
  <c r="F146" i="23" s="1"/>
  <c r="H191" i="23"/>
  <c r="G225" i="23"/>
  <c r="G259" i="23" s="1"/>
  <c r="D228" i="23"/>
  <c r="D262" i="23" s="1"/>
  <c r="E194" i="23"/>
  <c r="G145" i="23" s="1"/>
  <c r="F193" i="23"/>
  <c r="H144" i="23" s="1"/>
  <c r="E227" i="23"/>
  <c r="E261" i="23" s="1"/>
  <c r="G192" i="23"/>
  <c r="I143" i="23" s="1"/>
  <c r="F226" i="23"/>
  <c r="F260" i="23" s="1"/>
  <c r="F112" i="23"/>
  <c r="M46" i="17"/>
  <c r="M47" i="17"/>
  <c r="P45" i="23"/>
  <c r="C21" i="20" s="1"/>
  <c r="M66" i="17"/>
  <c r="C21" i="1" s="1"/>
  <c r="R7" i="17" l="1"/>
  <c r="V7" i="17" s="1"/>
  <c r="Z7" i="17" s="1"/>
  <c r="AD7" i="17" s="1"/>
  <c r="AH7" i="17" s="1"/>
  <c r="AL7" i="17" s="1"/>
  <c r="C90" i="32"/>
  <c r="C20" i="32"/>
  <c r="H225" i="23"/>
  <c r="H259" i="23" s="1"/>
  <c r="J142" i="23"/>
  <c r="F101" i="32"/>
  <c r="D102" i="32"/>
  <c r="F102" i="32" s="1"/>
  <c r="W18" i="17"/>
  <c r="AA18" i="17" s="1"/>
  <c r="AE18" i="17" s="1"/>
  <c r="AI18" i="17" s="1"/>
  <c r="AM18" i="17" s="1"/>
  <c r="E70" i="32"/>
  <c r="E71" i="32"/>
  <c r="E72" i="32"/>
  <c r="E68" i="32"/>
  <c r="E69" i="32"/>
  <c r="C31" i="31"/>
  <c r="M7" i="17"/>
  <c r="M10" i="17" s="1"/>
  <c r="M12" i="17" s="1"/>
  <c r="C34" i="31"/>
  <c r="E115" i="23" a="1"/>
  <c r="E115" i="23" s="1"/>
  <c r="G114" i="23"/>
  <c r="H114" i="23" s="1"/>
  <c r="M15" i="17"/>
  <c r="C19" i="17" s="1"/>
  <c r="C18" i="17"/>
  <c r="M25" i="17"/>
  <c r="M27" i="17" s="1"/>
  <c r="R8" i="17"/>
  <c r="X6" i="32"/>
  <c r="S19" i="17"/>
  <c r="D32" i="32"/>
  <c r="C8" i="32"/>
  <c r="X5" i="32" s="1"/>
  <c r="C4" i="32"/>
  <c r="C28" i="31" s="1"/>
  <c r="P73" i="23"/>
  <c r="P74" i="23" s="1"/>
  <c r="M90" i="17"/>
  <c r="D196" i="23"/>
  <c r="F147" i="23" s="1"/>
  <c r="H192" i="23"/>
  <c r="G226" i="23"/>
  <c r="G260" i="23" s="1"/>
  <c r="G193" i="23"/>
  <c r="I144" i="23" s="1"/>
  <c r="F227" i="23"/>
  <c r="F261" i="23" s="1"/>
  <c r="E195" i="23"/>
  <c r="G146" i="23" s="1"/>
  <c r="D229" i="23"/>
  <c r="D263" i="23" s="1"/>
  <c r="F194" i="23"/>
  <c r="H145" i="23" s="1"/>
  <c r="E228" i="23"/>
  <c r="E262" i="23" s="1"/>
  <c r="F113" i="23"/>
  <c r="M48" i="17"/>
  <c r="C18" i="1" s="1"/>
  <c r="P78" i="23"/>
  <c r="C21" i="32" l="1"/>
  <c r="C91" i="32"/>
  <c r="H226" i="23"/>
  <c r="H260" i="23" s="1"/>
  <c r="J143" i="23"/>
  <c r="P93" i="23"/>
  <c r="P94" i="23" s="1"/>
  <c r="H102" i="32"/>
  <c r="C92" i="32"/>
  <c r="V8" i="17"/>
  <c r="Z8" i="17" s="1"/>
  <c r="AD8" i="17" s="1"/>
  <c r="AH8" i="17" s="1"/>
  <c r="AL8" i="17" s="1"/>
  <c r="D103" i="32"/>
  <c r="F103" i="32" s="1"/>
  <c r="W19" i="17"/>
  <c r="AA19" i="17" s="1"/>
  <c r="AE19" i="17" s="1"/>
  <c r="AI19" i="17" s="1"/>
  <c r="AM19" i="17" s="1"/>
  <c r="P76" i="23"/>
  <c r="C23" i="20"/>
  <c r="M20" i="17"/>
  <c r="M96" i="17" s="1"/>
  <c r="M17" i="17"/>
  <c r="M19" i="17" s="1"/>
  <c r="M33" i="17" s="1"/>
  <c r="C17" i="1" s="1"/>
  <c r="E116" i="23" a="1"/>
  <c r="E116" i="23" s="1"/>
  <c r="G115" i="23"/>
  <c r="H115" i="23" s="1"/>
  <c r="K22" i="17"/>
  <c r="C22" i="32"/>
  <c r="C52" i="31" s="1"/>
  <c r="R9" i="17"/>
  <c r="C6" i="32"/>
  <c r="C30" i="31" s="1"/>
  <c r="D33" i="32"/>
  <c r="S20" i="17"/>
  <c r="P79" i="23"/>
  <c r="C33" i="31"/>
  <c r="D197" i="23"/>
  <c r="F148" i="23" s="1"/>
  <c r="F195" i="23"/>
  <c r="H146" i="23" s="1"/>
  <c r="E229" i="23"/>
  <c r="E263" i="23" s="1"/>
  <c r="H193" i="23"/>
  <c r="G227" i="23"/>
  <c r="G261" i="23" s="1"/>
  <c r="G194" i="23"/>
  <c r="I145" i="23" s="1"/>
  <c r="F228" i="23"/>
  <c r="F262" i="23" s="1"/>
  <c r="D230" i="23"/>
  <c r="D264" i="23" s="1"/>
  <c r="E196" i="23"/>
  <c r="G147" i="23" s="1"/>
  <c r="F114" i="23"/>
  <c r="D27" i="17"/>
  <c r="K6" i="17"/>
  <c r="C31" i="20" l="1"/>
  <c r="H227" i="23"/>
  <c r="H261" i="23" s="1"/>
  <c r="J144" i="23"/>
  <c r="Q93" i="23"/>
  <c r="Q94" i="23" s="1"/>
  <c r="H103" i="32"/>
  <c r="D104" i="32"/>
  <c r="F104" i="32" s="1"/>
  <c r="W20" i="17"/>
  <c r="AA20" i="17" s="1"/>
  <c r="AE20" i="17" s="1"/>
  <c r="AI20" i="17" s="1"/>
  <c r="AM20" i="17" s="1"/>
  <c r="C93" i="32"/>
  <c r="V9" i="17"/>
  <c r="Z9" i="17" s="1"/>
  <c r="AD9" i="17" s="1"/>
  <c r="AH9" i="17" s="1"/>
  <c r="AL9" i="17" s="1"/>
  <c r="C24" i="20"/>
  <c r="V6" i="23"/>
  <c r="K14" i="17"/>
  <c r="E117" i="23" a="1"/>
  <c r="E117" i="23" s="1"/>
  <c r="G116" i="23"/>
  <c r="H116" i="23" s="1"/>
  <c r="C23" i="32"/>
  <c r="R10" i="17"/>
  <c r="D6" i="32"/>
  <c r="E30" i="31" s="1"/>
  <c r="C5" i="32"/>
  <c r="S21" i="17"/>
  <c r="D34" i="32"/>
  <c r="M95" i="17"/>
  <c r="C31" i="1" s="1"/>
  <c r="N49" i="17"/>
  <c r="N89" i="17"/>
  <c r="M89" i="17"/>
  <c r="M91" i="17" s="1"/>
  <c r="C23" i="1" s="1"/>
  <c r="N94" i="17"/>
  <c r="D198" i="23"/>
  <c r="F149" i="23" s="1"/>
  <c r="F196" i="23"/>
  <c r="H147" i="23" s="1"/>
  <c r="E230" i="23"/>
  <c r="E264" i="23" s="1"/>
  <c r="H194" i="23"/>
  <c r="G228" i="23"/>
  <c r="G262" i="23" s="1"/>
  <c r="D231" i="23"/>
  <c r="D265" i="23" s="1"/>
  <c r="E197" i="23"/>
  <c r="G148" i="23" s="1"/>
  <c r="G195" i="23"/>
  <c r="I146" i="23" s="1"/>
  <c r="F229" i="23"/>
  <c r="F263" i="23" s="1"/>
  <c r="F115" i="23"/>
  <c r="M94" i="17"/>
  <c r="X4" i="32" l="1"/>
  <c r="C29" i="31"/>
  <c r="W6" i="23"/>
  <c r="V10" i="17"/>
  <c r="Z10" i="17" s="1"/>
  <c r="C17" i="31"/>
  <c r="C42" i="31"/>
  <c r="R93" i="23"/>
  <c r="S93" i="23" s="1"/>
  <c r="H228" i="23"/>
  <c r="H262" i="23" s="1"/>
  <c r="J145" i="23"/>
  <c r="X6" i="23"/>
  <c r="M106" i="17"/>
  <c r="M107" i="17"/>
  <c r="N107" i="17" s="1"/>
  <c r="N95" i="17"/>
  <c r="E31" i="1" s="1"/>
  <c r="M100" i="17"/>
  <c r="H104" i="32"/>
  <c r="D105" i="32"/>
  <c r="F105" i="32" s="1"/>
  <c r="W21" i="17"/>
  <c r="AA21" i="17" s="1"/>
  <c r="AE21" i="17" s="1"/>
  <c r="AI21" i="17" s="1"/>
  <c r="AM21" i="17" s="1"/>
  <c r="J19" i="33"/>
  <c r="M93" i="17"/>
  <c r="C94" i="32"/>
  <c r="E118" i="23" a="1"/>
  <c r="E118" i="23" s="1"/>
  <c r="G117" i="23"/>
  <c r="H117" i="23" s="1"/>
  <c r="C24" i="32"/>
  <c r="R11" i="17"/>
  <c r="B32" i="33"/>
  <c r="C10" i="32"/>
  <c r="C35" i="31" s="1"/>
  <c r="D35" i="32"/>
  <c r="S22" i="17"/>
  <c r="N91" i="17"/>
  <c r="E23" i="1" s="1"/>
  <c r="F197" i="23"/>
  <c r="H148" i="23" s="1"/>
  <c r="E231" i="23"/>
  <c r="E265" i="23" s="1"/>
  <c r="D199" i="23"/>
  <c r="F150" i="23" s="1"/>
  <c r="H195" i="23"/>
  <c r="G229" i="23"/>
  <c r="G263" i="23" s="1"/>
  <c r="G196" i="23"/>
  <c r="I147" i="23" s="1"/>
  <c r="F230" i="23"/>
  <c r="F264" i="23" s="1"/>
  <c r="D232" i="23"/>
  <c r="D266" i="23" s="1"/>
  <c r="E198" i="23"/>
  <c r="G149" i="23" s="1"/>
  <c r="F116" i="23"/>
  <c r="C24" i="1" l="1"/>
  <c r="C12" i="31"/>
  <c r="C9" i="31"/>
  <c r="C15" i="31"/>
  <c r="R94" i="23"/>
  <c r="Y6" i="23" s="1"/>
  <c r="S94" i="23"/>
  <c r="T93" i="23"/>
  <c r="T94" i="23" s="1"/>
  <c r="O107" i="17"/>
  <c r="P107" i="17" s="1"/>
  <c r="H229" i="23"/>
  <c r="H263" i="23" s="1"/>
  <c r="J146" i="23"/>
  <c r="H105" i="32"/>
  <c r="AD10" i="17"/>
  <c r="N100" i="17"/>
  <c r="N106" i="17"/>
  <c r="O106" i="17" s="1"/>
  <c r="D106" i="32"/>
  <c r="H106" i="32" s="1"/>
  <c r="W22" i="17"/>
  <c r="AA22" i="17" s="1"/>
  <c r="AE22" i="17" s="1"/>
  <c r="AI22" i="17" s="1"/>
  <c r="AM22" i="17" s="1"/>
  <c r="C95" i="32"/>
  <c r="V11" i="17"/>
  <c r="Z11" i="17" s="1"/>
  <c r="AD11" i="17" s="1"/>
  <c r="AH11" i="17" s="1"/>
  <c r="AL11" i="17" s="1"/>
  <c r="AP6" i="17"/>
  <c r="I66" i="31" s="1"/>
  <c r="N93" i="17"/>
  <c r="E24" i="1" s="1"/>
  <c r="E119" i="23" a="1"/>
  <c r="E119" i="23" s="1"/>
  <c r="G118" i="23"/>
  <c r="H118" i="23" s="1"/>
  <c r="C25" i="32"/>
  <c r="R12" i="17"/>
  <c r="X8" i="32"/>
  <c r="C11" i="32"/>
  <c r="C36" i="31" s="1"/>
  <c r="D36" i="32"/>
  <c r="S23" i="17"/>
  <c r="M101" i="17"/>
  <c r="N101" i="17" s="1"/>
  <c r="O101" i="17" s="1"/>
  <c r="F198" i="23"/>
  <c r="H149" i="23" s="1"/>
  <c r="E232" i="23"/>
  <c r="E266" i="23" s="1"/>
  <c r="D200" i="23"/>
  <c r="F151" i="23" s="1"/>
  <c r="H196" i="23"/>
  <c r="G230" i="23"/>
  <c r="G264" i="23" s="1"/>
  <c r="E199" i="23"/>
  <c r="G150" i="23" s="1"/>
  <c r="D233" i="23"/>
  <c r="D267" i="23" s="1"/>
  <c r="G197" i="23"/>
  <c r="I148" i="23" s="1"/>
  <c r="F231" i="23"/>
  <c r="F265" i="23" s="1"/>
  <c r="F117" i="23"/>
  <c r="U93" i="23" l="1"/>
  <c r="U94" i="23" s="1"/>
  <c r="Z6" i="23"/>
  <c r="E25" i="1"/>
  <c r="Q107" i="17"/>
  <c r="R107" i="17" s="1"/>
  <c r="P106" i="17"/>
  <c r="Q106" i="17" s="1"/>
  <c r="R106" i="17" s="1"/>
  <c r="H230" i="23"/>
  <c r="H264" i="23" s="1"/>
  <c r="J147" i="23"/>
  <c r="F106" i="32"/>
  <c r="AH10" i="17"/>
  <c r="P101" i="17"/>
  <c r="Q101" i="17" s="1"/>
  <c r="N102" i="17"/>
  <c r="O100" i="17"/>
  <c r="O102" i="17" s="1"/>
  <c r="C96" i="32"/>
  <c r="V12" i="17"/>
  <c r="Z12" i="17" s="1"/>
  <c r="AD12" i="17" s="1"/>
  <c r="AH12" i="17" s="1"/>
  <c r="AL12" i="17" s="1"/>
  <c r="D107" i="32"/>
  <c r="F107" i="32" s="1"/>
  <c r="W23" i="17"/>
  <c r="AA23" i="17" s="1"/>
  <c r="AE23" i="17" s="1"/>
  <c r="AI23" i="17" s="1"/>
  <c r="AM23" i="17" s="1"/>
  <c r="C53" i="32"/>
  <c r="X18" i="32" s="1"/>
  <c r="AN32" i="31" s="1"/>
  <c r="E120" i="23" a="1"/>
  <c r="E120" i="23" s="1"/>
  <c r="G119" i="23"/>
  <c r="H119" i="23" s="1"/>
  <c r="X14" i="32"/>
  <c r="AI10" i="31" s="1"/>
  <c r="C26" i="32"/>
  <c r="R13" i="17"/>
  <c r="V13" i="17" s="1"/>
  <c r="X9" i="32"/>
  <c r="X12" i="32"/>
  <c r="S24" i="17"/>
  <c r="D37" i="32"/>
  <c r="AP5" i="17"/>
  <c r="D201" i="23"/>
  <c r="F152" i="23" s="1"/>
  <c r="H197" i="23"/>
  <c r="G231" i="23"/>
  <c r="G265" i="23" s="1"/>
  <c r="F199" i="23"/>
  <c r="H150" i="23" s="1"/>
  <c r="E233" i="23"/>
  <c r="E267" i="23" s="1"/>
  <c r="E200" i="23"/>
  <c r="G151" i="23" s="1"/>
  <c r="D234" i="23"/>
  <c r="D268" i="23" s="1"/>
  <c r="G198" i="23"/>
  <c r="I149" i="23" s="1"/>
  <c r="F232" i="23"/>
  <c r="F266" i="23" s="1"/>
  <c r="F118" i="23"/>
  <c r="AI8" i="31" l="1"/>
  <c r="C14" i="30" s="1"/>
  <c r="C16" i="30" s="1"/>
  <c r="AA6" i="23"/>
  <c r="D45" i="20"/>
  <c r="H231" i="23"/>
  <c r="H265" i="23" s="1"/>
  <c r="J148" i="23"/>
  <c r="Z13" i="17"/>
  <c r="M105" i="17"/>
  <c r="P100" i="17"/>
  <c r="P102" i="17" s="1"/>
  <c r="R101" i="17"/>
  <c r="AL10" i="17"/>
  <c r="H107" i="32"/>
  <c r="D108" i="32"/>
  <c r="F108" i="32" s="1"/>
  <c r="W24" i="17"/>
  <c r="AA24" i="17" s="1"/>
  <c r="AE24" i="17" s="1"/>
  <c r="AI24" i="17" s="1"/>
  <c r="AM24" i="17" s="1"/>
  <c r="C97" i="32"/>
  <c r="E121" i="23" a="1"/>
  <c r="E121" i="23" s="1"/>
  <c r="G120" i="23"/>
  <c r="H120" i="23" s="1"/>
  <c r="C27" i="32"/>
  <c r="R14" i="17"/>
  <c r="S25" i="17"/>
  <c r="D38" i="32"/>
  <c r="D202" i="23"/>
  <c r="F153" i="23" s="1"/>
  <c r="H198" i="23"/>
  <c r="G232" i="23"/>
  <c r="G266" i="23" s="1"/>
  <c r="F200" i="23"/>
  <c r="H151" i="23" s="1"/>
  <c r="E234" i="23"/>
  <c r="E268" i="23" s="1"/>
  <c r="G199" i="23"/>
  <c r="I150" i="23" s="1"/>
  <c r="F233" i="23"/>
  <c r="F267" i="23" s="1"/>
  <c r="E201" i="23"/>
  <c r="G152" i="23" s="1"/>
  <c r="D235" i="23"/>
  <c r="D269" i="23" s="1"/>
  <c r="F119" i="23"/>
  <c r="Q100" i="17" l="1"/>
  <c r="Q102" i="17" s="1"/>
  <c r="H232" i="23"/>
  <c r="H266" i="23" s="1"/>
  <c r="J149" i="23"/>
  <c r="H108" i="32"/>
  <c r="AD13" i="17"/>
  <c r="N105" i="17"/>
  <c r="C98" i="32"/>
  <c r="V14" i="17"/>
  <c r="Z14" i="17" s="1"/>
  <c r="AD14" i="17" s="1"/>
  <c r="AH14" i="17" s="1"/>
  <c r="AL14" i="17" s="1"/>
  <c r="D109" i="32"/>
  <c r="F109" i="32" s="1"/>
  <c r="W25" i="17"/>
  <c r="AA25" i="17" s="1"/>
  <c r="AE25" i="17" s="1"/>
  <c r="AI25" i="17" s="1"/>
  <c r="AM25" i="17" s="1"/>
  <c r="M108" i="17"/>
  <c r="E122" i="23" a="1"/>
  <c r="E122" i="23" s="1"/>
  <c r="G121" i="23"/>
  <c r="H121" i="23" s="1"/>
  <c r="C28" i="32"/>
  <c r="R15" i="17"/>
  <c r="S26" i="17"/>
  <c r="D39" i="32"/>
  <c r="E54" i="31" s="1"/>
  <c r="G200" i="23"/>
  <c r="I151" i="23" s="1"/>
  <c r="F234" i="23"/>
  <c r="F268" i="23" s="1"/>
  <c r="D203" i="23"/>
  <c r="F154" i="23" s="1"/>
  <c r="F201" i="23"/>
  <c r="H152" i="23" s="1"/>
  <c r="E235" i="23"/>
  <c r="E269" i="23" s="1"/>
  <c r="H199" i="23"/>
  <c r="G233" i="23"/>
  <c r="G267" i="23" s="1"/>
  <c r="E202" i="23"/>
  <c r="G153" i="23" s="1"/>
  <c r="D236" i="23"/>
  <c r="D270" i="23" s="1"/>
  <c r="F120" i="23"/>
  <c r="R100" i="17" l="1"/>
  <c r="H233" i="23"/>
  <c r="H267" i="23" s="1"/>
  <c r="J150" i="23"/>
  <c r="H109" i="32"/>
  <c r="AH13" i="17"/>
  <c r="O105" i="17"/>
  <c r="O108" i="17" s="1"/>
  <c r="N108" i="17"/>
  <c r="AQ6" i="17"/>
  <c r="J66" i="31" s="1"/>
  <c r="C99" i="32"/>
  <c r="V15" i="17"/>
  <c r="Z15" i="17" s="1"/>
  <c r="AD15" i="17" s="1"/>
  <c r="AH15" i="17" s="1"/>
  <c r="AL15" i="17" s="1"/>
  <c r="D110" i="32"/>
  <c r="F110" i="32" s="1"/>
  <c r="W26" i="17"/>
  <c r="AA26" i="17" s="1"/>
  <c r="AE26" i="17" s="1"/>
  <c r="AI26" i="17" s="1"/>
  <c r="AM26" i="17" s="1"/>
  <c r="E123" i="23" a="1"/>
  <c r="E123" i="23" s="1"/>
  <c r="G122" i="23"/>
  <c r="H122" i="23" s="1"/>
  <c r="C29" i="32"/>
  <c r="C53" i="31" s="1"/>
  <c r="R16" i="17"/>
  <c r="S27" i="17"/>
  <c r="D40" i="32"/>
  <c r="F202" i="23"/>
  <c r="H153" i="23" s="1"/>
  <c r="E236" i="23"/>
  <c r="E270" i="23" s="1"/>
  <c r="G201" i="23"/>
  <c r="I152" i="23" s="1"/>
  <c r="F235" i="23"/>
  <c r="F269" i="23" s="1"/>
  <c r="D204" i="23"/>
  <c r="F155" i="23" s="1"/>
  <c r="E203" i="23"/>
  <c r="G154" i="23" s="1"/>
  <c r="D237" i="23"/>
  <c r="D271" i="23" s="1"/>
  <c r="H200" i="23"/>
  <c r="G234" i="23"/>
  <c r="G268" i="23" s="1"/>
  <c r="F121" i="23"/>
  <c r="H234" i="23" l="1"/>
  <c r="H268" i="23" s="1"/>
  <c r="J151" i="23"/>
  <c r="AR6" i="17"/>
  <c r="AL13" i="17"/>
  <c r="Q105" i="17" s="1"/>
  <c r="Q108" i="17" s="1"/>
  <c r="P105" i="17"/>
  <c r="H110" i="32"/>
  <c r="D111" i="32"/>
  <c r="H111" i="32" s="1"/>
  <c r="W27" i="17"/>
  <c r="AA27" i="17" s="1"/>
  <c r="AE27" i="17" s="1"/>
  <c r="AI27" i="17" s="1"/>
  <c r="AM27" i="17" s="1"/>
  <c r="C100" i="32"/>
  <c r="V16" i="17"/>
  <c r="Z16" i="17" s="1"/>
  <c r="AD16" i="17" s="1"/>
  <c r="AH16" i="17" s="1"/>
  <c r="AL16" i="17" s="1"/>
  <c r="C54" i="32"/>
  <c r="X19" i="32" s="1"/>
  <c r="AO32" i="31" s="1"/>
  <c r="C63" i="32"/>
  <c r="E63" i="32" s="1"/>
  <c r="C66" i="32"/>
  <c r="E66" i="32" s="1"/>
  <c r="C64" i="32"/>
  <c r="E64" i="32" s="1"/>
  <c r="C67" i="32"/>
  <c r="E67" i="32" s="1"/>
  <c r="C65" i="32"/>
  <c r="E65" i="32" s="1"/>
  <c r="E124" i="23" a="1"/>
  <c r="E124" i="23" s="1"/>
  <c r="G123" i="23"/>
  <c r="H123" i="23" s="1"/>
  <c r="C30" i="32"/>
  <c r="R17" i="17"/>
  <c r="S28" i="17"/>
  <c r="D41" i="32"/>
  <c r="D205" i="23"/>
  <c r="F156" i="23" s="1"/>
  <c r="F203" i="23"/>
  <c r="H154" i="23" s="1"/>
  <c r="E237" i="23"/>
  <c r="E271" i="23" s="1"/>
  <c r="H201" i="23"/>
  <c r="G235" i="23"/>
  <c r="G269" i="23" s="1"/>
  <c r="E204" i="23"/>
  <c r="G155" i="23" s="1"/>
  <c r="D238" i="23"/>
  <c r="D272" i="23" s="1"/>
  <c r="G202" i="23"/>
  <c r="I153" i="23" s="1"/>
  <c r="F236" i="23"/>
  <c r="F270" i="23" s="1"/>
  <c r="F122" i="23"/>
  <c r="AS6" i="17" l="1"/>
  <c r="L66" i="31" s="1"/>
  <c r="K66" i="31"/>
  <c r="H235" i="23"/>
  <c r="H269" i="23" s="1"/>
  <c r="J152" i="23"/>
  <c r="F111" i="32"/>
  <c r="P108" i="17"/>
  <c r="R108" i="17" s="1"/>
  <c r="D63" i="31" s="1"/>
  <c r="R105" i="17"/>
  <c r="D112" i="32"/>
  <c r="F112" i="32" s="1"/>
  <c r="W28" i="17"/>
  <c r="AA28" i="17" s="1"/>
  <c r="AE28" i="17" s="1"/>
  <c r="AI28" i="17" s="1"/>
  <c r="AM28" i="17" s="1"/>
  <c r="C101" i="32"/>
  <c r="V17" i="17"/>
  <c r="Z17" i="17" s="1"/>
  <c r="AD17" i="17" s="1"/>
  <c r="AH17" i="17" s="1"/>
  <c r="AL17" i="17" s="1"/>
  <c r="C55" i="32"/>
  <c r="X20" i="32" s="1"/>
  <c r="AP32" i="31" s="1"/>
  <c r="E125" i="23" a="1"/>
  <c r="E125" i="23" s="1"/>
  <c r="G124" i="23"/>
  <c r="H124" i="23" s="1"/>
  <c r="C31" i="32"/>
  <c r="R18" i="17"/>
  <c r="S29" i="17"/>
  <c r="D42" i="32"/>
  <c r="D206" i="23"/>
  <c r="F157" i="23" s="1"/>
  <c r="H202" i="23"/>
  <c r="G236" i="23"/>
  <c r="G270" i="23" s="1"/>
  <c r="F204" i="23"/>
  <c r="H155" i="23" s="1"/>
  <c r="E238" i="23"/>
  <c r="E272" i="23" s="1"/>
  <c r="E205" i="23"/>
  <c r="G156" i="23" s="1"/>
  <c r="D239" i="23"/>
  <c r="D273" i="23" s="1"/>
  <c r="G203" i="23"/>
  <c r="I154" i="23" s="1"/>
  <c r="F237" i="23"/>
  <c r="F271" i="23" s="1"/>
  <c r="F123" i="23"/>
  <c r="D43" i="1" l="1"/>
  <c r="D62" i="31"/>
  <c r="H236" i="23"/>
  <c r="H270" i="23" s="1"/>
  <c r="J153" i="23"/>
  <c r="AT6" i="17"/>
  <c r="H112" i="32"/>
  <c r="C102" i="32"/>
  <c r="V18" i="17"/>
  <c r="Z18" i="17" s="1"/>
  <c r="AD18" i="17" s="1"/>
  <c r="AH18" i="17" s="1"/>
  <c r="AL18" i="17" s="1"/>
  <c r="D113" i="32"/>
  <c r="F113" i="32" s="1"/>
  <c r="W29" i="17"/>
  <c r="AA29" i="17" s="1"/>
  <c r="AE29" i="17" s="1"/>
  <c r="AI29" i="17" s="1"/>
  <c r="AM29" i="17" s="1"/>
  <c r="C56" i="32"/>
  <c r="X21" i="32" s="1"/>
  <c r="AQ32" i="31" s="1"/>
  <c r="E126" i="23" a="1"/>
  <c r="E126" i="23" s="1"/>
  <c r="G125" i="23"/>
  <c r="H125" i="23" s="1"/>
  <c r="C32" i="32"/>
  <c r="R19" i="17"/>
  <c r="S30" i="17"/>
  <c r="D43" i="32"/>
  <c r="D207" i="23"/>
  <c r="F158" i="23" s="1"/>
  <c r="F205" i="23"/>
  <c r="H156" i="23" s="1"/>
  <c r="E239" i="23"/>
  <c r="E273" i="23" s="1"/>
  <c r="G204" i="23"/>
  <c r="I155" i="23" s="1"/>
  <c r="F238" i="23"/>
  <c r="F272" i="23" s="1"/>
  <c r="H203" i="23"/>
  <c r="G237" i="23"/>
  <c r="G271" i="23" s="1"/>
  <c r="E206" i="23"/>
  <c r="G157" i="23" s="1"/>
  <c r="D240" i="23"/>
  <c r="D274" i="23" s="1"/>
  <c r="F124" i="23"/>
  <c r="AU6" i="17" l="1"/>
  <c r="N66" i="31" s="1"/>
  <c r="M66" i="31"/>
  <c r="H237" i="23"/>
  <c r="H271" i="23" s="1"/>
  <c r="J154" i="23"/>
  <c r="H113" i="32"/>
  <c r="C103" i="32"/>
  <c r="V19" i="17"/>
  <c r="Z19" i="17" s="1"/>
  <c r="AD19" i="17" s="1"/>
  <c r="AH19" i="17" s="1"/>
  <c r="AL19" i="17" s="1"/>
  <c r="D114" i="32"/>
  <c r="H114" i="32" s="1"/>
  <c r="W30" i="17"/>
  <c r="AA30" i="17" s="1"/>
  <c r="AE30" i="17" s="1"/>
  <c r="AI30" i="17" s="1"/>
  <c r="AM30" i="17" s="1"/>
  <c r="C57" i="32"/>
  <c r="X22" i="32" s="1"/>
  <c r="AR32" i="31" s="1"/>
  <c r="E127" i="23" a="1"/>
  <c r="E127" i="23" s="1"/>
  <c r="G127" i="23" s="1"/>
  <c r="H127" i="23" s="1"/>
  <c r="G126" i="23"/>
  <c r="H126" i="23" s="1"/>
  <c r="C33" i="32"/>
  <c r="R20" i="17"/>
  <c r="S31" i="17"/>
  <c r="D44" i="32"/>
  <c r="G205" i="23"/>
  <c r="I156" i="23" s="1"/>
  <c r="F239" i="23"/>
  <c r="F273" i="23" s="1"/>
  <c r="F206" i="23"/>
  <c r="H157" i="23" s="1"/>
  <c r="E240" i="23"/>
  <c r="E274" i="23" s="1"/>
  <c r="E207" i="23"/>
  <c r="G158" i="23" s="1"/>
  <c r="D241" i="23"/>
  <c r="D275" i="23" s="1"/>
  <c r="D208" i="23"/>
  <c r="F159" i="23" s="1"/>
  <c r="H204" i="23"/>
  <c r="G238" i="23"/>
  <c r="G272" i="23" s="1"/>
  <c r="F125" i="23"/>
  <c r="H238" i="23" l="1"/>
  <c r="H272" i="23" s="1"/>
  <c r="J155" i="23"/>
  <c r="F114" i="32"/>
  <c r="C58" i="32"/>
  <c r="X23" i="32" s="1"/>
  <c r="D115" i="32"/>
  <c r="F115" i="32" s="1"/>
  <c r="W31" i="17"/>
  <c r="AA31" i="17" s="1"/>
  <c r="AE31" i="17" s="1"/>
  <c r="AI31" i="17" s="1"/>
  <c r="AM31" i="17" s="1"/>
  <c r="C104" i="32"/>
  <c r="V20" i="17"/>
  <c r="Z20" i="17" s="1"/>
  <c r="AD20" i="17" s="1"/>
  <c r="AH20" i="17" s="1"/>
  <c r="AL20" i="17" s="1"/>
  <c r="C34" i="32"/>
  <c r="R21" i="17"/>
  <c r="S32" i="17"/>
  <c r="D45" i="32"/>
  <c r="F207" i="23"/>
  <c r="H158" i="23" s="1"/>
  <c r="E241" i="23"/>
  <c r="E275" i="23" s="1"/>
  <c r="G206" i="23"/>
  <c r="I157" i="23" s="1"/>
  <c r="F240" i="23"/>
  <c r="F274" i="23" s="1"/>
  <c r="D209" i="23"/>
  <c r="F160" i="23" s="1"/>
  <c r="D242" i="23"/>
  <c r="D276" i="23" s="1"/>
  <c r="E208" i="23"/>
  <c r="G159" i="23" s="1"/>
  <c r="H205" i="23"/>
  <c r="G239" i="23"/>
  <c r="G273" i="23" s="1"/>
  <c r="F126" i="23"/>
  <c r="AJ22" i="31" l="1"/>
  <c r="AS32" i="31"/>
  <c r="AJ23" i="31"/>
  <c r="H239" i="23"/>
  <c r="H273" i="23" s="1"/>
  <c r="J156" i="23"/>
  <c r="H115" i="32"/>
  <c r="C105" i="32"/>
  <c r="V21" i="17"/>
  <c r="Z21" i="17" s="1"/>
  <c r="AD21" i="17" s="1"/>
  <c r="AH21" i="17" s="1"/>
  <c r="AL21" i="17" s="1"/>
  <c r="D116" i="32"/>
  <c r="H116" i="32" s="1"/>
  <c r="W32" i="17"/>
  <c r="AA32" i="17" s="1"/>
  <c r="AE32" i="17" s="1"/>
  <c r="AI32" i="17" s="1"/>
  <c r="AM32" i="17" s="1"/>
  <c r="C35" i="32"/>
  <c r="R22" i="17"/>
  <c r="D46" i="32"/>
  <c r="S33" i="17"/>
  <c r="F208" i="23"/>
  <c r="H159" i="23" s="1"/>
  <c r="E242" i="23"/>
  <c r="E276" i="23" s="1"/>
  <c r="D210" i="23"/>
  <c r="F161" i="23" s="1"/>
  <c r="F162" i="23" s="1"/>
  <c r="P83" i="23" s="1"/>
  <c r="D243" i="23"/>
  <c r="D277" i="23" s="1"/>
  <c r="E209" i="23"/>
  <c r="G160" i="23" s="1"/>
  <c r="H206" i="23"/>
  <c r="G240" i="23"/>
  <c r="G274" i="23" s="1"/>
  <c r="Q4" i="23"/>
  <c r="G207" i="23"/>
  <c r="I158" i="23" s="1"/>
  <c r="F241" i="23"/>
  <c r="F275" i="23" s="1"/>
  <c r="F127" i="23"/>
  <c r="Q69" i="23" s="1" a="1"/>
  <c r="Q69" i="23" s="1"/>
  <c r="Q67" i="23" s="1"/>
  <c r="E22" i="20" l="1"/>
  <c r="H240" i="23"/>
  <c r="H274" i="23" s="1"/>
  <c r="J157" i="23"/>
  <c r="F116" i="32"/>
  <c r="C106" i="32"/>
  <c r="V22" i="17"/>
  <c r="Z22" i="17" s="1"/>
  <c r="AD22" i="17" s="1"/>
  <c r="AH22" i="17" s="1"/>
  <c r="AL22" i="17" s="1"/>
  <c r="D117" i="32"/>
  <c r="H117" i="32" s="1"/>
  <c r="W33" i="17"/>
  <c r="AA33" i="17" s="1"/>
  <c r="AE33" i="17" s="1"/>
  <c r="AI33" i="17" s="1"/>
  <c r="AM33" i="17" s="1"/>
  <c r="C36" i="32"/>
  <c r="R23" i="17"/>
  <c r="S34" i="17"/>
  <c r="D47" i="32"/>
  <c r="D9" i="32"/>
  <c r="E34" i="31" s="1"/>
  <c r="J51" i="30" s="1"/>
  <c r="Q73" i="23"/>
  <c r="Q78" i="23"/>
  <c r="Q77" i="23"/>
  <c r="Q80" i="23" s="1"/>
  <c r="Q72" i="23"/>
  <c r="H207" i="23"/>
  <c r="G241" i="23"/>
  <c r="G275" i="23" s="1"/>
  <c r="F209" i="23"/>
  <c r="H160" i="23" s="1"/>
  <c r="E243" i="23"/>
  <c r="E277" i="23" s="1"/>
  <c r="D244" i="23"/>
  <c r="D278" i="23" s="1"/>
  <c r="D279" i="23" s="1"/>
  <c r="P84" i="23" s="1"/>
  <c r="E210" i="23"/>
  <c r="G161" i="23" s="1"/>
  <c r="G162" i="23" s="1"/>
  <c r="Q83" i="23" s="1"/>
  <c r="Q6" i="23"/>
  <c r="E17" i="20" s="1"/>
  <c r="G208" i="23"/>
  <c r="I159" i="23" s="1"/>
  <c r="F242" i="23"/>
  <c r="F276" i="23" s="1"/>
  <c r="H241" i="23" l="1"/>
  <c r="H275" i="23" s="1"/>
  <c r="J158" i="23"/>
  <c r="F117" i="32"/>
  <c r="C107" i="32"/>
  <c r="V23" i="17"/>
  <c r="Z23" i="17" s="1"/>
  <c r="AD23" i="17" s="1"/>
  <c r="AH23" i="17" s="1"/>
  <c r="AL23" i="17" s="1"/>
  <c r="D118" i="32"/>
  <c r="F118" i="32" s="1"/>
  <c r="W34" i="17"/>
  <c r="AA34" i="17" s="1"/>
  <c r="AE34" i="17" s="1"/>
  <c r="AI34" i="17" s="1"/>
  <c r="AM34" i="17" s="1"/>
  <c r="D38" i="33"/>
  <c r="T35" i="30" s="1"/>
  <c r="D40" i="33"/>
  <c r="T37" i="30" s="1"/>
  <c r="D37" i="33"/>
  <c r="T34" i="30" s="1"/>
  <c r="D36" i="33"/>
  <c r="T33" i="30" s="1"/>
  <c r="D39" i="33"/>
  <c r="T36" i="30" s="1"/>
  <c r="C37" i="32"/>
  <c r="R24" i="17"/>
  <c r="S35" i="17"/>
  <c r="D48" i="32"/>
  <c r="Q79" i="23"/>
  <c r="Y7" i="32"/>
  <c r="D5" i="32"/>
  <c r="E29" i="31" s="1"/>
  <c r="Q74" i="23"/>
  <c r="E23" i="20" s="1"/>
  <c r="H208" i="23"/>
  <c r="G242" i="23"/>
  <c r="G276" i="23" s="1"/>
  <c r="G209" i="23"/>
  <c r="I160" i="23" s="1"/>
  <c r="F243" i="23"/>
  <c r="F277" i="23" s="1"/>
  <c r="F210" i="23"/>
  <c r="H161" i="23" s="1"/>
  <c r="H162" i="23" s="1"/>
  <c r="R83" i="23" s="1"/>
  <c r="E244" i="23"/>
  <c r="E278" i="23" s="1"/>
  <c r="E279" i="23" s="1"/>
  <c r="Q84" i="23" s="1"/>
  <c r="E42" i="31" l="1"/>
  <c r="E31" i="20"/>
  <c r="H242" i="23"/>
  <c r="H276" i="23" s="1"/>
  <c r="J159" i="23"/>
  <c r="H118" i="32"/>
  <c r="W35" i="17"/>
  <c r="AA35" i="17" s="1"/>
  <c r="AE35" i="17" s="1"/>
  <c r="AI35" i="17" s="1"/>
  <c r="AM35" i="17" s="1"/>
  <c r="C108" i="32"/>
  <c r="V24" i="17"/>
  <c r="Z24" i="17" s="1"/>
  <c r="AD24" i="17" s="1"/>
  <c r="AH24" i="17" s="1"/>
  <c r="AL24" i="17" s="1"/>
  <c r="Q76" i="23"/>
  <c r="J54" i="30"/>
  <c r="M46" i="30" s="1"/>
  <c r="M48" i="30" s="1"/>
  <c r="L50" i="30" s="1"/>
  <c r="D49" i="32"/>
  <c r="D119" i="32"/>
  <c r="C32" i="33"/>
  <c r="C38" i="32"/>
  <c r="R25" i="17"/>
  <c r="D10" i="32"/>
  <c r="E35" i="31" s="1"/>
  <c r="Y4" i="32"/>
  <c r="P86" i="23"/>
  <c r="G210" i="23"/>
  <c r="I161" i="23" s="1"/>
  <c r="I162" i="23" s="1"/>
  <c r="S83" i="23" s="1"/>
  <c r="F244" i="23"/>
  <c r="F278" i="23" s="1"/>
  <c r="F279" i="23" s="1"/>
  <c r="R84" i="23" s="1"/>
  <c r="H209" i="23"/>
  <c r="G243" i="23"/>
  <c r="G277" i="23" s="1"/>
  <c r="E15" i="31" l="1"/>
  <c r="E24" i="20"/>
  <c r="E25" i="20" s="1"/>
  <c r="E12" i="31"/>
  <c r="E9" i="31"/>
  <c r="H243" i="23"/>
  <c r="H277" i="23" s="1"/>
  <c r="J160" i="23"/>
  <c r="Q86" i="23"/>
  <c r="C109" i="32"/>
  <c r="V25" i="17"/>
  <c r="Z25" i="17" s="1"/>
  <c r="AD25" i="17" s="1"/>
  <c r="AH25" i="17" s="1"/>
  <c r="AL25" i="17" s="1"/>
  <c r="R99" i="17"/>
  <c r="M102" i="17"/>
  <c r="AQ5" i="17" s="1"/>
  <c r="AR5" i="17" s="1"/>
  <c r="AS5" i="17" s="1"/>
  <c r="AT5" i="17" s="1"/>
  <c r="AU5" i="17" s="1"/>
  <c r="F119" i="32"/>
  <c r="H119" i="32"/>
  <c r="L9" i="33"/>
  <c r="K16" i="33"/>
  <c r="L16" i="33"/>
  <c r="J9" i="33"/>
  <c r="K9" i="33"/>
  <c r="C39" i="32"/>
  <c r="C54" i="31" s="1"/>
  <c r="R26" i="17"/>
  <c r="D11" i="32"/>
  <c r="E36" i="31" s="1"/>
  <c r="Y8" i="32"/>
  <c r="V5" i="23"/>
  <c r="I67" i="31" s="1"/>
  <c r="P87" i="23"/>
  <c r="H210" i="23"/>
  <c r="G244" i="23"/>
  <c r="G278" i="23" s="1"/>
  <c r="G279" i="23" s="1"/>
  <c r="S84" i="23" s="1"/>
  <c r="R86" i="23" l="1"/>
  <c r="S86" i="23" s="1"/>
  <c r="Q87" i="23"/>
  <c r="W5" i="23"/>
  <c r="J67" i="31" s="1"/>
  <c r="H244" i="23"/>
  <c r="H278" i="23" s="1"/>
  <c r="H279" i="23" s="1"/>
  <c r="T84" i="23" s="1"/>
  <c r="U84" i="23" s="1"/>
  <c r="J161" i="23"/>
  <c r="J162" i="23" s="1"/>
  <c r="T83" i="23" s="1"/>
  <c r="R102" i="17"/>
  <c r="C110" i="32"/>
  <c r="V26" i="17"/>
  <c r="Z26" i="17" s="1"/>
  <c r="AD26" i="17" s="1"/>
  <c r="AH26" i="17" s="1"/>
  <c r="AL26" i="17" s="1"/>
  <c r="D53" i="32"/>
  <c r="E53" i="32" s="1"/>
  <c r="I68" i="31"/>
  <c r="J20" i="33"/>
  <c r="T28" i="30" s="1"/>
  <c r="C21" i="30" s="1"/>
  <c r="R27" i="17"/>
  <c r="C40" i="32"/>
  <c r="Y12" i="32"/>
  <c r="AJ8" i="31" s="1"/>
  <c r="D14" i="30" s="1"/>
  <c r="Y9" i="32"/>
  <c r="Y14" i="32"/>
  <c r="AJ10" i="31" s="1"/>
  <c r="E43" i="1" l="1"/>
  <c r="D44" i="1" s="1"/>
  <c r="X5" i="23"/>
  <c r="T86" i="23"/>
  <c r="T87" i="23" s="1"/>
  <c r="S87" i="23"/>
  <c r="U83" i="23"/>
  <c r="R87" i="23"/>
  <c r="C111" i="32"/>
  <c r="V27" i="17"/>
  <c r="Z27" i="17" s="1"/>
  <c r="AD27" i="17" s="1"/>
  <c r="AH27" i="17" s="1"/>
  <c r="AL27" i="17" s="1"/>
  <c r="Y18" i="32"/>
  <c r="J68" i="31"/>
  <c r="D16" i="30"/>
  <c r="D17" i="30" s="1"/>
  <c r="C8" i="30" s="1"/>
  <c r="F23" i="31"/>
  <c r="C22" i="30"/>
  <c r="C9" i="30" s="1"/>
  <c r="R28" i="17"/>
  <c r="C41" i="32"/>
  <c r="D54" i="32"/>
  <c r="D11" i="1" l="1"/>
  <c r="D12" i="28"/>
  <c r="B11" i="1"/>
  <c r="B12" i="28"/>
  <c r="AN33" i="31"/>
  <c r="AN34" i="31" s="1"/>
  <c r="K67" i="31"/>
  <c r="K68" i="31" s="1"/>
  <c r="D12" i="22"/>
  <c r="D11" i="20"/>
  <c r="C10" i="30"/>
  <c r="B12" i="22"/>
  <c r="Y5" i="23"/>
  <c r="U86" i="23"/>
  <c r="U87" i="23" s="1"/>
  <c r="C112" i="32"/>
  <c r="V28" i="17"/>
  <c r="Z28" i="17" s="1"/>
  <c r="AD28" i="17" s="1"/>
  <c r="AH28" i="17" s="1"/>
  <c r="AL28" i="17" s="1"/>
  <c r="D55" i="32"/>
  <c r="Y20" i="32" s="1"/>
  <c r="Y19" i="32"/>
  <c r="E54" i="32"/>
  <c r="T19" i="31"/>
  <c r="AI15" i="31"/>
  <c r="R19" i="31"/>
  <c r="AH15" i="31"/>
  <c r="B11" i="20"/>
  <c r="B22" i="31"/>
  <c r="D22" i="31"/>
  <c r="C42" i="32"/>
  <c r="R29" i="17"/>
  <c r="F11" i="1" l="1"/>
  <c r="F12" i="28"/>
  <c r="E45" i="20"/>
  <c r="D46" i="20" s="1"/>
  <c r="E63" i="31"/>
  <c r="D64" i="31" s="1"/>
  <c r="E62" i="31"/>
  <c r="Z5" i="23"/>
  <c r="L67" i="31"/>
  <c r="L68" i="31" s="1"/>
  <c r="AO33" i="31"/>
  <c r="AO34" i="31" s="1"/>
  <c r="AP33" i="31"/>
  <c r="AP34" i="31" s="1"/>
  <c r="F12" i="22"/>
  <c r="F11" i="20"/>
  <c r="C113" i="32"/>
  <c r="V29" i="17"/>
  <c r="Z29" i="17" s="1"/>
  <c r="AD29" i="17" s="1"/>
  <c r="AH29" i="17" s="1"/>
  <c r="AL29" i="17" s="1"/>
  <c r="D56" i="32"/>
  <c r="Y21" i="32" s="1"/>
  <c r="E55" i="32"/>
  <c r="V19" i="31"/>
  <c r="F22" i="31"/>
  <c r="B24" i="30"/>
  <c r="AJ15" i="31"/>
  <c r="R30" i="17"/>
  <c r="C43" i="32"/>
  <c r="AQ33" i="31" l="1"/>
  <c r="AQ34" i="31" s="1"/>
  <c r="AA5" i="23"/>
  <c r="N67" i="31" s="1"/>
  <c r="M67" i="31"/>
  <c r="M68" i="31" s="1"/>
  <c r="C114" i="32"/>
  <c r="V30" i="17"/>
  <c r="Z30" i="17" s="1"/>
  <c r="AD30" i="17" s="1"/>
  <c r="AH30" i="17" s="1"/>
  <c r="AL30" i="17" s="1"/>
  <c r="D57" i="32"/>
  <c r="Y22" i="32" s="1"/>
  <c r="E56" i="32"/>
  <c r="C44" i="32"/>
  <c r="R31" i="17"/>
  <c r="D58" i="32" l="1"/>
  <c r="Y23" i="32" s="1"/>
  <c r="AS33" i="31" s="1"/>
  <c r="AS34" i="31" s="1"/>
  <c r="AR33" i="31"/>
  <c r="AR34" i="31" s="1"/>
  <c r="N68" i="31"/>
  <c r="C115" i="32"/>
  <c r="V31" i="17"/>
  <c r="Z31" i="17" s="1"/>
  <c r="AD31" i="17" s="1"/>
  <c r="AH31" i="17" s="1"/>
  <c r="AL31" i="17" s="1"/>
  <c r="E57" i="32"/>
  <c r="R32" i="17"/>
  <c r="C45" i="32"/>
  <c r="AK23" i="31" l="1"/>
  <c r="AJ24" i="31" s="1"/>
  <c r="AK22" i="31"/>
  <c r="E58" i="32"/>
  <c r="E59" i="32" s="1"/>
  <c r="C116" i="32"/>
  <c r="V32" i="17"/>
  <c r="Z32" i="17" s="1"/>
  <c r="AD32" i="17" s="1"/>
  <c r="AH32" i="17" s="1"/>
  <c r="AL32" i="17" s="1"/>
  <c r="R33" i="17"/>
  <c r="C46" i="32"/>
  <c r="C117" i="32" l="1"/>
  <c r="V33" i="17"/>
  <c r="Z33" i="17" s="1"/>
  <c r="AD33" i="17" s="1"/>
  <c r="AH33" i="17" s="1"/>
  <c r="AL33" i="17" s="1"/>
  <c r="R34" i="17"/>
  <c r="C47" i="32"/>
  <c r="C118" i="32" l="1"/>
  <c r="V34" i="17"/>
  <c r="Z34" i="17" s="1"/>
  <c r="AD34" i="17" s="1"/>
  <c r="AH34" i="17" s="1"/>
  <c r="AL34" i="17" s="1"/>
  <c r="R35" i="17"/>
  <c r="V35" i="17" s="1"/>
  <c r="Z35" i="17" s="1"/>
  <c r="AD35" i="17" s="1"/>
  <c r="AH35" i="17" s="1"/>
  <c r="AL35" i="17" s="1"/>
  <c r="C48" i="32"/>
  <c r="C49" i="32" l="1"/>
  <c r="C119" i="3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Olivia Carr</author>
  </authors>
  <commentList>
    <comment ref="M8" authorId="0" shapeId="0" xr:uid="{1AC5C460-15DD-4E69-8A0F-5F63FC089883}">
      <text>
        <r>
          <rPr>
            <b/>
            <sz val="9"/>
            <color indexed="81"/>
            <rFont val="Tahoma"/>
            <family val="2"/>
          </rPr>
          <t>Olivia Carr:</t>
        </r>
        <r>
          <rPr>
            <sz val="9"/>
            <color indexed="81"/>
            <rFont val="Tahoma"/>
            <family val="2"/>
          </rPr>
          <t xml:space="preserve">
Assumption: This is positive. If negative or equal to 0, it zeros out the result.</t>
        </r>
      </text>
    </comment>
    <comment ref="M10" authorId="0" shapeId="0" xr:uid="{C2D99ECE-16F7-45CC-B380-7D4F3897D320}">
      <text>
        <r>
          <rPr>
            <b/>
            <sz val="9"/>
            <color indexed="81"/>
            <rFont val="Tahoma"/>
            <family val="2"/>
          </rPr>
          <t>Olivia Carr:</t>
        </r>
        <r>
          <rPr>
            <sz val="9"/>
            <color indexed="81"/>
            <rFont val="Tahoma"/>
            <family val="2"/>
          </rPr>
          <t xml:space="preserve">
Assumption: There are an equal percent of teachers in each step of each experience band (e.g., equal number of 2nd year teachers as 4th year teachers)</t>
        </r>
      </text>
    </comment>
    <comment ref="D12" authorId="0" shapeId="0" xr:uid="{4BAF49E3-8018-41EF-84F1-A489594116B7}">
      <text>
        <r>
          <rPr>
            <sz val="11"/>
            <color theme="1"/>
            <rFont val="Calibri"/>
            <family val="2"/>
            <scheme val="minor"/>
          </rPr>
          <t>Olivia Carr:
Assumption: The size of the step increase within each experience band is consistent throughout the salary schedule.</t>
        </r>
      </text>
    </comment>
    <comment ref="L25" authorId="0" shapeId="0" xr:uid="{E8952BF2-4FD9-4360-9BF6-2E459E9D6BE1}">
      <text>
        <r>
          <rPr>
            <b/>
            <sz val="9"/>
            <color indexed="81"/>
            <rFont val="Tahoma"/>
            <family val="2"/>
          </rPr>
          <t>Olivia Carr:</t>
        </r>
        <r>
          <rPr>
            <sz val="9"/>
            <color indexed="81"/>
            <rFont val="Tahoma"/>
            <family val="2"/>
          </rPr>
          <t xml:space="preserve">
This shows how much of the average novice teacher's pay is due to experience raises over these first four years</t>
        </r>
      </text>
    </comment>
    <comment ref="M43" authorId="0" shapeId="0" xr:uid="{00E33A38-827B-470A-80F9-343E3FC6799A}">
      <text>
        <r>
          <rPr>
            <b/>
            <sz val="9"/>
            <color indexed="81"/>
            <rFont val="Tahoma"/>
            <family val="2"/>
          </rPr>
          <t>Olivia Carr:</t>
        </r>
        <r>
          <rPr>
            <sz val="9"/>
            <color indexed="81"/>
            <rFont val="Tahoma"/>
            <family val="2"/>
          </rPr>
          <t xml:space="preserve">
Assumption: There are three lanes total with equal raises between them. According to the Lane raises tab in the appendix, districts in the Salem (from Isabella) area tend to have slightly higher raises for BA--&gt;MA than for MA--&gt;MA+ by about $1000 or 1.4% of the total salary. I still think this is an appropriate assumption to make, though, because it's not going to change the total spend by too much, and to get an accurate proportion of step, we'd want a better, more representative sample of lane increases than just the Salem area.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tc={E0D3166C-9C57-45A1-837A-300F72A37B30}</author>
    <author>Olivia Carr</author>
    <author>tc={427BDA3E-F143-472C-8105-92EEBC38EB81}</author>
  </authors>
  <commentList>
    <comment ref="C5" authorId="0" shapeId="0" xr:uid="{E0D3166C-9C57-45A1-837A-300F72A37B30}">
      <text>
        <t>[Threaded comment]
Your version of Excel allows you to read this threaded comment; however, any edits to it will get removed if the file is opened in a newer version of Excel. Learn more: https://go.microsoft.com/fwlink/?linkid=870924
Comment:
    Placeholder data from Aldine</t>
      </text>
    </comment>
    <comment ref="P12" authorId="1" shapeId="0" xr:uid="{D58B25C2-12C5-4307-B8E2-69397DB2A68E}">
      <text>
        <r>
          <rPr>
            <b/>
            <sz val="9"/>
            <color indexed="81"/>
            <rFont val="Tahoma"/>
            <family val="2"/>
          </rPr>
          <t>Olivia Carr:</t>
        </r>
        <r>
          <rPr>
            <sz val="9"/>
            <color indexed="81"/>
            <rFont val="Tahoma"/>
            <family val="2"/>
          </rPr>
          <t xml:space="preserve">
Assumption: There are three lanes total with equal raises between them. According to the Lane raises tab in the appendix, districts in the Salem (from Isabella) area tend to have slightly higher raises for BA--&gt;MA than for MA--&gt;MA+ by about $1000 or 1.4% of the total salary. I still think this is an appropriate assumption to make, though, because it's not going to change the total spend by too much, and to get an accurate proportion of step, we'd want a better, more representative sample of lane increases than just the Salem area. </t>
        </r>
      </text>
    </comment>
    <comment ref="C96" authorId="2" shapeId="0" xr:uid="{427BDA3E-F143-472C-8105-92EEBC38EB81}">
      <text>
        <t>[Threaded comment]
Your version of Excel allows you to read this threaded comment; however, any edits to it will get removed if the file is opened in a newer version of Excel. Learn more: https://go.microsoft.com/fwlink/?linkid=870924
Comment:
    Placeholder data from Aldine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<sst xmlns="http://schemas.openxmlformats.org/spreadsheetml/2006/main" count="1962" uniqueCount="740">
  <si>
    <t xml:space="preserve">Welcome to the TEA Strategic Compensation Model! </t>
  </si>
  <si>
    <t>This tool models the change in cost associated with a new compensation system for teachers, principals, and assistant principals.</t>
  </si>
  <si>
    <r>
      <t xml:space="preserve">Note: </t>
    </r>
    <r>
      <rPr>
        <sz val="11"/>
        <color rgb="FFFF0000"/>
        <rFont val="Calibri"/>
        <family val="2"/>
        <scheme val="minor"/>
      </rPr>
      <t>This model is to be used for planning purposes only. It is not intended to be used as a budgeting tool.</t>
    </r>
  </si>
  <si>
    <t>Directions:</t>
  </si>
  <si>
    <t>START HERE: CHOOSE BASIC OR ADVANCED</t>
  </si>
  <si>
    <r>
      <rPr>
        <b/>
        <sz val="11"/>
        <color theme="1"/>
        <rFont val="Calibri"/>
        <family val="2"/>
        <scheme val="minor"/>
      </rPr>
      <t>1.</t>
    </r>
    <r>
      <rPr>
        <sz val="11"/>
        <color theme="1"/>
        <rFont val="Calibri"/>
        <family val="2"/>
        <scheme val="minor"/>
      </rPr>
      <t xml:space="preserve"> Select the inputs tabs you would like to use from the dropdown menus to the right. The basic inputs require fewer values, while the advanced inputs ask for more detailed information. Only one input tab needs to be completed for teachers and one input tab needs to be completed for principals.</t>
    </r>
  </si>
  <si>
    <t>Select the inputs tab for teachers…....................................</t>
  </si>
  <si>
    <t>Basic</t>
  </si>
  <si>
    <t>Select the inputs tab for principals and APs…................................</t>
  </si>
  <si>
    <t>Legend</t>
  </si>
  <si>
    <t>-Note: While using this calculator, you should ONLY edit the yellow cells on the Inputs tabs</t>
  </si>
  <si>
    <t>Indicates that you can enter or select information from a dropdown</t>
  </si>
  <si>
    <t>Indicates a protected formula cell that may not be edited</t>
  </si>
  <si>
    <r>
      <rPr>
        <b/>
        <sz val="11"/>
        <color theme="1"/>
        <rFont val="Calibri"/>
        <family val="2"/>
        <scheme val="minor"/>
      </rPr>
      <t>2.</t>
    </r>
    <r>
      <rPr>
        <sz val="11"/>
        <color theme="1"/>
        <rFont val="Calibri"/>
        <family val="2"/>
        <scheme val="minor"/>
      </rPr>
      <t xml:space="preserve"> Navigate to the input tab you have selected for teachers. Enter the required information in the yellow input cells. If you do not have the data for a certain input, you may use the value suggested. You may stop here or continue to the principals section of the model.</t>
    </r>
  </si>
  <si>
    <t>The model is designed to help districts become more strategic in their compensation systems. As you use the model, keep the following strategic compensation goals in mind:</t>
  </si>
  <si>
    <r>
      <rPr>
        <b/>
        <sz val="11"/>
        <color theme="1"/>
        <rFont val="Calibri"/>
        <family val="2"/>
        <scheme val="minor"/>
      </rPr>
      <t>Goal 1:</t>
    </r>
    <r>
      <rPr>
        <sz val="11"/>
        <color theme="1"/>
        <rFont val="Calibri"/>
        <family val="2"/>
        <scheme val="minor"/>
      </rPr>
      <t xml:space="preserve"> Transition toward a compensation system based on performance and increase the spending on effectiveness.</t>
    </r>
  </si>
  <si>
    <r>
      <rPr>
        <b/>
        <sz val="11"/>
        <color theme="1"/>
        <rFont val="Calibri"/>
        <family val="2"/>
        <scheme val="minor"/>
      </rPr>
      <t>3.</t>
    </r>
    <r>
      <rPr>
        <sz val="11"/>
        <color theme="1"/>
        <rFont val="Calibri"/>
        <family val="2"/>
        <scheme val="minor"/>
      </rPr>
      <t xml:space="preserve"> If you would like to model changes to your principal and AP compensation system, navigate to the input tab you have selected for principals and APs. Enter the required information in the yellow input cells or use the suggested values.</t>
    </r>
  </si>
  <si>
    <r>
      <rPr>
        <b/>
        <sz val="11"/>
        <color theme="1"/>
        <rFont val="Calibri"/>
        <family val="2"/>
        <scheme val="minor"/>
      </rPr>
      <t>Goal 2:</t>
    </r>
    <r>
      <rPr>
        <sz val="11"/>
        <color theme="1"/>
        <rFont val="Calibri"/>
        <family val="2"/>
        <scheme val="minor"/>
      </rPr>
      <t xml:space="preserve"> Incentivize teachers to teach at the schools, grades, and subjects where they are needed most by increasing spending on high needs schools and other priority areas. </t>
    </r>
  </si>
  <si>
    <r>
      <rPr>
        <b/>
        <sz val="11"/>
        <color theme="1"/>
        <rFont val="Calibri"/>
        <family val="2"/>
        <scheme val="minor"/>
      </rPr>
      <t>4</t>
    </r>
    <r>
      <rPr>
        <sz val="11"/>
        <color theme="1"/>
        <rFont val="Calibri"/>
        <family val="2"/>
        <scheme val="minor"/>
      </rPr>
      <t>. Select the results tab to see how your new compensation system compares to the current system.</t>
    </r>
  </si>
  <si>
    <r>
      <rPr>
        <b/>
        <sz val="11"/>
        <color theme="1"/>
        <rFont val="Calibri"/>
        <family val="2"/>
        <scheme val="minor"/>
      </rPr>
      <t>Goal 3:</t>
    </r>
    <r>
      <rPr>
        <sz val="11"/>
        <color theme="1"/>
        <rFont val="Calibri"/>
        <family val="2"/>
        <scheme val="minor"/>
      </rPr>
      <t xml:space="preserve"> Reduce spending on advanced degrees</t>
    </r>
  </si>
  <si>
    <r>
      <rPr>
        <b/>
        <sz val="11"/>
        <color theme="1"/>
        <rFont val="Calibri"/>
        <family val="2"/>
        <scheme val="minor"/>
      </rPr>
      <t>Goal 4:</t>
    </r>
    <r>
      <rPr>
        <sz val="11"/>
        <color theme="1"/>
        <rFont val="Calibri"/>
        <family val="2"/>
        <scheme val="minor"/>
      </rPr>
      <t xml:space="preserve"> Increase the earning potential of early career teachers (Years 1-5) to promote attraction and retntion in the teaching profession. </t>
    </r>
  </si>
  <si>
    <t>The model contains the following components:</t>
  </si>
  <si>
    <t>INPUTS:</t>
  </si>
  <si>
    <t>All inputs tabs will ask you to answer questions about your current compensation system, your desired compensation system, and how your desired compensation system may change over time.</t>
  </si>
  <si>
    <r>
      <rPr>
        <b/>
        <u/>
        <sz val="11"/>
        <color theme="1"/>
        <rFont val="Calibri"/>
        <family val="2"/>
        <scheme val="minor"/>
      </rPr>
      <t>Basic - Teachers:</t>
    </r>
    <r>
      <rPr>
        <sz val="11"/>
        <color theme="1"/>
        <rFont val="Calibri"/>
        <family val="2"/>
        <scheme val="minor"/>
      </rPr>
      <t xml:space="preserve"> This tab can be used to model the costs of a new compensation system for teachers over time using the simplest inputs. </t>
    </r>
  </si>
  <si>
    <r>
      <rPr>
        <b/>
        <u/>
        <sz val="11"/>
        <color theme="1"/>
        <rFont val="Calibri"/>
        <family val="2"/>
        <scheme val="minor"/>
      </rPr>
      <t>Advanced - Teachers:</t>
    </r>
    <r>
      <rPr>
        <sz val="11"/>
        <color theme="1"/>
        <rFont val="Calibri"/>
        <family val="2"/>
        <scheme val="minor"/>
      </rPr>
      <t xml:space="preserve"> This tab can be used to model the costs of a new compensation system for teachers over time using more inputs than the basic tab. For example, you will be asked to enter midpoint salaries for each year of experience rather than just starting salary and annual pay increase. This tab also allows you to choose from two different methods of annual pay increase and includes more detailed functionality for paying teachers based on their roles.</t>
    </r>
  </si>
  <si>
    <r>
      <rPr>
        <b/>
        <u/>
        <sz val="11"/>
        <color theme="1"/>
        <rFont val="Calibri"/>
        <family val="2"/>
        <scheme val="minor"/>
      </rPr>
      <t>Basic - Principals and APs:</t>
    </r>
    <r>
      <rPr>
        <sz val="11"/>
        <color theme="1"/>
        <rFont val="Calibri"/>
        <family val="2"/>
        <scheme val="minor"/>
      </rPr>
      <t xml:space="preserve"> This tab can be used to model the costs of a new compensation system for principals and assistant principals over time using the simplest inputs.</t>
    </r>
  </si>
  <si>
    <r>
      <rPr>
        <b/>
        <u/>
        <sz val="11"/>
        <color theme="1"/>
        <rFont val="Calibri"/>
        <family val="2"/>
        <scheme val="minor"/>
      </rPr>
      <t>Advanced - Principals and APs:</t>
    </r>
    <r>
      <rPr>
        <sz val="11"/>
        <color theme="1"/>
        <rFont val="Calibri"/>
        <family val="2"/>
        <scheme val="minor"/>
      </rPr>
      <t xml:space="preserve"> This tab can be used to model the costs of a new compensation system over time for principals and assistant principals using more inputs than the basic tab. With this tab, you are able to adjust the inputs by school level for both principals and APs.</t>
    </r>
  </si>
  <si>
    <t>TRADEOFF LEVERS:</t>
  </si>
  <si>
    <t>The tradeoff levers tab allows you to think about different cost-saving levers that can be used to pay for a new compensation system that may entail greater costs than your current system.</t>
  </si>
  <si>
    <t>RESULTS:</t>
  </si>
  <si>
    <t>The results tab shows a comprehensive overview of the choices made in the inputs and tradeoff levers tabs through specific metrics and charts. The results are broken down into teacher compensation, principal and AP compensation, and the overall cost of compensation for all three positions.</t>
  </si>
  <si>
    <t>What district data do I need before I begin?</t>
  </si>
  <si>
    <t xml:space="preserve">Teachers: </t>
  </si>
  <si>
    <r>
      <rPr>
        <b/>
        <sz val="11"/>
        <color theme="1"/>
        <rFont val="Calibri"/>
        <family val="2"/>
        <scheme val="minor"/>
      </rPr>
      <t>- Teacher FTE:</t>
    </r>
    <r>
      <rPr>
        <sz val="11"/>
        <color theme="1"/>
        <rFont val="Calibri"/>
        <family val="2"/>
        <scheme val="minor"/>
      </rPr>
      <t xml:space="preserve"> overall, by years of experience, and by education level</t>
    </r>
  </si>
  <si>
    <r>
      <rPr>
        <b/>
        <sz val="11"/>
        <color theme="1"/>
        <rFont val="Calibri"/>
        <family val="2"/>
        <scheme val="minor"/>
      </rPr>
      <t>- Salary:</t>
    </r>
    <r>
      <rPr>
        <sz val="11"/>
        <color theme="1"/>
        <rFont val="Calibri"/>
        <family val="2"/>
        <scheme val="minor"/>
      </rPr>
      <t xml:space="preserve"> current starting and maximum salary, annual general pay increases, additional pay associated with education level, benefits rate</t>
    </r>
  </si>
  <si>
    <r>
      <rPr>
        <b/>
        <sz val="11"/>
        <color theme="1"/>
        <rFont val="Calibri"/>
        <family val="2"/>
        <scheme val="minor"/>
      </rPr>
      <t>- Effectiveness:</t>
    </r>
    <r>
      <rPr>
        <sz val="11"/>
        <color theme="1"/>
        <rFont val="Calibri"/>
        <family val="2"/>
        <scheme val="minor"/>
      </rPr>
      <t xml:space="preserve"> any applicable teacher effectiveness categories, FTE and additional pay associated with each category</t>
    </r>
  </si>
  <si>
    <r>
      <rPr>
        <b/>
        <sz val="11"/>
        <color theme="1"/>
        <rFont val="Calibri"/>
        <family val="2"/>
        <scheme val="minor"/>
      </rPr>
      <t>- Teacher Roles:</t>
    </r>
    <r>
      <rPr>
        <sz val="11"/>
        <color theme="1"/>
        <rFont val="Calibri"/>
        <family val="2"/>
        <scheme val="minor"/>
      </rPr>
      <t xml:space="preserve"> number of teachers working in a leadership role associated with additional pay and the amount of additional pay for each role</t>
    </r>
  </si>
  <si>
    <r>
      <rPr>
        <b/>
        <sz val="11"/>
        <color theme="1"/>
        <rFont val="Calibri"/>
        <family val="2"/>
        <scheme val="minor"/>
      </rPr>
      <t>- Additional Roles:</t>
    </r>
    <r>
      <rPr>
        <sz val="11"/>
        <color theme="1"/>
        <rFont val="Calibri"/>
        <family val="2"/>
        <scheme val="minor"/>
      </rPr>
      <t xml:space="preserve"> list of non-teaching instructional positions in your district (e.g. aide, paraprofessional), FTE  and salary of each position</t>
    </r>
  </si>
  <si>
    <r>
      <rPr>
        <b/>
        <sz val="11"/>
        <color theme="1"/>
        <rFont val="Calibri"/>
        <family val="2"/>
        <scheme val="minor"/>
      </rPr>
      <t>- Critical Need Areas:</t>
    </r>
    <r>
      <rPr>
        <sz val="11"/>
        <color theme="1"/>
        <rFont val="Calibri"/>
        <family val="2"/>
        <scheme val="minor"/>
      </rPr>
      <t xml:space="preserve"> number of FTE receiving additional pay for working in high needs schools or hard-to-staff subjects and the amount of additional pay </t>
    </r>
  </si>
  <si>
    <r>
      <rPr>
        <b/>
        <sz val="11"/>
        <color theme="1"/>
        <rFont val="Calibri"/>
        <family val="2"/>
        <scheme val="minor"/>
      </rPr>
      <t>- Multi-Year:</t>
    </r>
    <r>
      <rPr>
        <sz val="11"/>
        <color theme="1"/>
        <rFont val="Calibri"/>
        <family val="2"/>
        <scheme val="minor"/>
      </rPr>
      <t xml:space="preserve"> annual teacher attrition information, expected annual salary increase, and annual increase in benefits costs</t>
    </r>
  </si>
  <si>
    <t>Principals and APs:</t>
  </si>
  <si>
    <r>
      <rPr>
        <b/>
        <sz val="11"/>
        <color theme="1"/>
        <rFont val="Calibri"/>
        <family val="2"/>
        <scheme val="minor"/>
      </rPr>
      <t xml:space="preserve">- FTE: </t>
    </r>
    <r>
      <rPr>
        <sz val="11"/>
        <color theme="1"/>
        <rFont val="Calibri"/>
        <family val="2"/>
        <scheme val="minor"/>
      </rPr>
      <t>FTE count for principals and assistant principals (APs)</t>
    </r>
  </si>
  <si>
    <r>
      <rPr>
        <b/>
        <sz val="11"/>
        <color theme="1"/>
        <rFont val="Calibri"/>
        <family val="2"/>
        <scheme val="minor"/>
      </rPr>
      <t xml:space="preserve">- Salary: </t>
    </r>
    <r>
      <rPr>
        <sz val="11"/>
        <color theme="1"/>
        <rFont val="Calibri"/>
        <family val="2"/>
        <scheme val="minor"/>
      </rPr>
      <t>average salary for principals and APs</t>
    </r>
  </si>
  <si>
    <r>
      <rPr>
        <b/>
        <sz val="11"/>
        <color theme="1"/>
        <rFont val="Calibri"/>
        <family val="2"/>
        <scheme val="minor"/>
      </rPr>
      <t>- Effectiveness:</t>
    </r>
    <r>
      <rPr>
        <sz val="11"/>
        <color theme="1"/>
        <rFont val="Calibri"/>
        <family val="2"/>
        <scheme val="minor"/>
      </rPr>
      <t xml:space="preserve"> any applicable principal and AP effectiveness categories, and the FTE and additional pay associated with each category</t>
    </r>
  </si>
  <si>
    <r>
      <rPr>
        <b/>
        <sz val="11"/>
        <color theme="1"/>
        <rFont val="Calibri"/>
        <family val="2"/>
        <scheme val="minor"/>
      </rPr>
      <t>- Critical Need Areas:</t>
    </r>
    <r>
      <rPr>
        <sz val="11"/>
        <color theme="1"/>
        <rFont val="Calibri"/>
        <family val="2"/>
        <scheme val="minor"/>
      </rPr>
      <t xml:space="preserve"> number of FTE receiving additional pay for working in high needs schools and the amount of additional pay</t>
    </r>
  </si>
  <si>
    <r>
      <rPr>
        <b/>
        <sz val="11"/>
        <color theme="1"/>
        <rFont val="Calibri"/>
        <family val="2"/>
        <scheme val="minor"/>
      </rPr>
      <t>- Multi-Year:</t>
    </r>
    <r>
      <rPr>
        <sz val="11"/>
        <color theme="1"/>
        <rFont val="Calibri"/>
        <family val="2"/>
        <scheme val="minor"/>
      </rPr>
      <t xml:space="preserve"> annual attrition information for principals and APs, average salary of new hires and school leaders that leave, expected annual salary increase, and annual increase in benefits costs</t>
    </r>
  </si>
  <si>
    <t>Tradeoff Levers:</t>
  </si>
  <si>
    <r>
      <rPr>
        <b/>
        <sz val="11"/>
        <color theme="1"/>
        <rFont val="Calibri"/>
        <family val="2"/>
        <scheme val="minor"/>
      </rPr>
      <t>- TIA (if applicable):</t>
    </r>
    <r>
      <rPr>
        <sz val="11"/>
        <color theme="1"/>
        <rFont val="Calibri"/>
        <family val="2"/>
        <scheme val="minor"/>
      </rPr>
      <t xml:space="preserve"> % eligible FTE, % distribution of TIA allotment among designated teachers, other eligble staff, and implementation support</t>
    </r>
  </si>
  <si>
    <r>
      <rPr>
        <b/>
        <sz val="11"/>
        <color theme="1"/>
        <rFont val="Calibri"/>
        <family val="2"/>
        <scheme val="minor"/>
      </rPr>
      <t>- FTE Adustments:</t>
    </r>
    <r>
      <rPr>
        <sz val="11"/>
        <color theme="1"/>
        <rFont val="Calibri"/>
        <family val="2"/>
        <scheme val="minor"/>
      </rPr>
      <t xml:space="preserve"> maximum class size by school level, teacher utilization rates by school level</t>
    </r>
  </si>
  <si>
    <r>
      <rPr>
        <b/>
        <sz val="11"/>
        <color theme="1"/>
        <rFont val="Calibri"/>
        <family val="2"/>
        <scheme val="minor"/>
      </rPr>
      <t>- Other Savings Options:</t>
    </r>
    <r>
      <rPr>
        <sz val="11"/>
        <color theme="1"/>
        <rFont val="Calibri"/>
        <family val="2"/>
        <scheme val="minor"/>
      </rPr>
      <t xml:space="preserve"> current district spending in the areas where you would like spending reduced (e.g. central office, professional development, etc.)</t>
    </r>
  </si>
  <si>
    <t xml:space="preserve">Quick Summary Metrics - Teachers </t>
  </si>
  <si>
    <t>Compensation Strategy</t>
  </si>
  <si>
    <t>Table of Contents:</t>
  </si>
  <si>
    <t>Multi-Year Analysis</t>
  </si>
  <si>
    <r>
      <t>This section includes a running summary of key metrics of the current and new strategic compensation system that you are developing.</t>
    </r>
    <r>
      <rPr>
        <b/>
        <sz val="10"/>
        <rFont val="Calibri"/>
        <family val="2"/>
        <scheme val="minor"/>
      </rPr>
      <t xml:space="preserve"> It will update automatically based on the choices you make to the right. </t>
    </r>
    <r>
      <rPr>
        <sz val="10"/>
        <rFont val="Calibri"/>
        <family val="2"/>
        <scheme val="minor"/>
      </rPr>
      <t>You can find a more in-depth set of metrics on the "Results" tab.</t>
    </r>
  </si>
  <si>
    <t>In this section, you will describe your current and new compensation strategy for teachers. First, ensure the basic input level is selected in the INSTRUCTIONS tab. Then, enter your district's information in the yellow cells below.  Black cells should not be edited.</t>
  </si>
  <si>
    <t>1. FTE</t>
  </si>
  <si>
    <t>5. Effectiveness</t>
  </si>
  <si>
    <t>In this section, you will describe how the costs of your compensation strategy may change over time. Enter your district's information in the yellow cells below. If you do not wish to model the cost of your  compensation system over time, you may leave these cells blank.</t>
  </si>
  <si>
    <t>2. Experience</t>
  </si>
  <si>
    <t>6. Roles</t>
  </si>
  <si>
    <t>3. Education</t>
  </si>
  <si>
    <t>7. Critical Needs Areas</t>
  </si>
  <si>
    <t>4. Salary</t>
  </si>
  <si>
    <t>Input Level Selected</t>
  </si>
  <si>
    <t>Overall Strategic Compensation Summary</t>
  </si>
  <si>
    <t xml:space="preserve">1. FTE </t>
  </si>
  <si>
    <t>This table shows the total strategic compensation investment, savings, and net change in cost for both teachers and school leaders.</t>
  </si>
  <si>
    <t>My district employs…</t>
  </si>
  <si>
    <t>Multi-Year</t>
  </si>
  <si>
    <t>New Investment</t>
  </si>
  <si>
    <t>New Savings</t>
  </si>
  <si>
    <t>Net Change</t>
  </si>
  <si>
    <t>Teachers</t>
  </si>
  <si>
    <t>Costs may change over time due to…</t>
  </si>
  <si>
    <t>Annual Teacher Attrition Rate (%)</t>
  </si>
  <si>
    <t>Average New Hire Years of Experience</t>
  </si>
  <si>
    <t>Total Compensation Cost (Teachers Only)</t>
  </si>
  <si>
    <t xml:space="preserve">Enter the following information about the experience level of teachers. </t>
  </si>
  <si>
    <t>Average Years of Experience for Teachers that Leave</t>
  </si>
  <si>
    <t xml:space="preserve">This table shows the cost of the compensation system based on each component. </t>
  </si>
  <si>
    <t>% FTE</t>
  </si>
  <si>
    <t>Expected Annual Salary Increase (%)</t>
  </si>
  <si>
    <t>Compensation Component</t>
  </si>
  <si>
    <t>Current</t>
  </si>
  <si>
    <t>New</t>
  </si>
  <si>
    <t>Less than 5 years</t>
  </si>
  <si>
    <t>Annual Increase in Benefits Costs (%)</t>
  </si>
  <si>
    <t>Starting Salary</t>
  </si>
  <si>
    <t>5-15 years</t>
  </si>
  <si>
    <t>Experience</t>
  </si>
  <si>
    <t>More than 15 years</t>
  </si>
  <si>
    <t>Education</t>
  </si>
  <si>
    <t>Teacher Roles</t>
  </si>
  <si>
    <t>Additional Roles</t>
  </si>
  <si>
    <t>Enter the following information about education-related compensation for teachers.</t>
  </si>
  <si>
    <t>Critical Needs</t>
  </si>
  <si>
    <t>Highest Degree Earned</t>
  </si>
  <si>
    <t>Current Additional Pay ($)</t>
  </si>
  <si>
    <t>New Additional Pay ($)</t>
  </si>
  <si>
    <t>Effectiveness</t>
  </si>
  <si>
    <t>Bachelor's</t>
  </si>
  <si>
    <t>Benefits</t>
  </si>
  <si>
    <t>Master's</t>
  </si>
  <si>
    <t>Total</t>
  </si>
  <si>
    <t>PhD (or other advanced degree)</t>
  </si>
  <si>
    <t>New Investment Attributed to Teacher Compensation….................................................................</t>
  </si>
  <si>
    <t>Key Compensation System Statistics</t>
  </si>
  <si>
    <t xml:space="preserve">4a. Salary </t>
  </si>
  <si>
    <t>This table includes key metrics about the compensation system.</t>
  </si>
  <si>
    <t>Enter the following information about your district's teacher salaries.</t>
  </si>
  <si>
    <t>Salary Metric</t>
  </si>
  <si>
    <t>Starting Salary for Bachelor's Degree ($)</t>
  </si>
  <si>
    <t>Average Teacher Compensation</t>
  </si>
  <si>
    <t>Max Salary for a Bachelor's Degree ($)</t>
  </si>
  <si>
    <t>Additional Pay</t>
  </si>
  <si>
    <t>Avg. $ Earned</t>
  </si>
  <si>
    <t>Average Pay Increase per Year of Service ($)</t>
  </si>
  <si>
    <t>High Needs Schools</t>
  </si>
  <si>
    <t>Benefits Rate (%)</t>
  </si>
  <si>
    <t>Hard-to-Staff  Subjects</t>
  </si>
  <si>
    <t xml:space="preserve">Roles </t>
  </si>
  <si>
    <t>4b. Desired Salary</t>
  </si>
  <si>
    <t>Enter the following information about your desired teacher salaries.</t>
  </si>
  <si>
    <t>General pay increase for 0-4 years of experience ($)</t>
  </si>
  <si>
    <t>Costs Over Time</t>
  </si>
  <si>
    <t>General pay increase for 5-15 years of experience($)</t>
  </si>
  <si>
    <t>This table shows how the costs of both the current and new compensation system may change over time. The five year change in cost represents how much each respective strategy will increase or decrease in cost over the next five years. The total difference in cost reflects how much more the new compensation strategy will cost over the next five years compared to the current strategy.</t>
  </si>
  <si>
    <t>General pay increase for more than 15 years of experience ($)</t>
  </si>
  <si>
    <t>5a. Effectiveness</t>
  </si>
  <si>
    <r>
      <t xml:space="preserve">Enter the categories of your local designation system from least effective to most effective. Then, enter the percent of teachers in each category and the additional pay they receive. You may enter </t>
    </r>
    <r>
      <rPr>
        <b/>
        <i/>
        <sz val="10"/>
        <color theme="1"/>
        <rFont val="Calibri"/>
        <family val="2"/>
        <scheme val="minor"/>
      </rPr>
      <t>up to</t>
    </r>
    <r>
      <rPr>
        <b/>
        <sz val="10"/>
        <color theme="1"/>
        <rFont val="Calibri"/>
        <family val="2"/>
        <scheme val="minor"/>
      </rPr>
      <t xml:space="preserve"> 10 categories, but only need to enter the number of categories your district uses or would like to use.</t>
    </r>
  </si>
  <si>
    <t>5 Year Change in Cost</t>
  </si>
  <si>
    <t>Effectiveness Categories</t>
  </si>
  <si>
    <t>Total Difference in Cost</t>
  </si>
  <si>
    <t>5b. Effectiveness</t>
  </si>
  <si>
    <t xml:space="preserve">Do teachers in the lowest effectiveness band receive a pay freeze? Freezing pay makes teachers ineligible for salary increases based on additional years of service. </t>
  </si>
  <si>
    <t>6a. Teacher Roles</t>
  </si>
  <si>
    <t>How many teachers receive additional pay based on their role? Only roles in which teachers take on additional leadership responsibilites should be included (e.g. instructional leads, mentor teachers). Do not include roles or pay associated with overseeing an extracurricular activity.</t>
  </si>
  <si>
    <t>Average Additional Pay ($)</t>
  </si>
  <si>
    <t>6b. Additional Roles (Optional)</t>
  </si>
  <si>
    <t>How many non-teacher instructional positions does your district have? (e.g. paraprofessionals, aides, teacher residents etc.) You may enter up to 5 roles.</t>
  </si>
  <si>
    <t>Role</t>
  </si>
  <si>
    <t>FTE Count</t>
  </si>
  <si>
    <t>Avg Salary ($)</t>
  </si>
  <si>
    <t>How many teachers serve critical needs?</t>
  </si>
  <si>
    <t>High-Needs Schools</t>
  </si>
  <si>
    <t>Hard-to-Staff Subjects</t>
  </si>
  <si>
    <t>Table of Contents</t>
  </si>
  <si>
    <r>
      <t xml:space="preserve">This section includes a running summary of key metrics of the current and new strategic compensation system that you are developing. </t>
    </r>
    <r>
      <rPr>
        <b/>
        <sz val="10"/>
        <rFont val="Calibri"/>
        <family val="2"/>
        <scheme val="minor"/>
      </rPr>
      <t>It will update automatically based on the choices you make to the right.</t>
    </r>
    <r>
      <rPr>
        <sz val="10"/>
        <rFont val="Calibri"/>
        <family val="2"/>
        <scheme val="minor"/>
      </rPr>
      <t xml:space="preserve"> You can find a more in-depth set of metrics on the "Results" tab.</t>
    </r>
  </si>
  <si>
    <t>In this section, you will describe your current and new compensation strategy for teachers. First, ensure the advanced input level is selected in the INSTRUCTIONS tab. Then, enter your district's information in the yellow cells below. Black cells should not be edited.</t>
  </si>
  <si>
    <t>1. Salary</t>
  </si>
  <si>
    <t>5. Roles</t>
  </si>
  <si>
    <t xml:space="preserve">In this section, you will describe how the costs of your compensation strategy may change over time. Enter your district's information in the yellow cells below. If you do not wish to model the cost of your  compensation system over time, you may leave these cells blank. </t>
  </si>
  <si>
    <t>2. Benefits</t>
  </si>
  <si>
    <t>6. Critical Needs Areas</t>
  </si>
  <si>
    <t>4. Effectiveness</t>
  </si>
  <si>
    <t>1a. Starting Salary</t>
  </si>
  <si>
    <t>Multi-Year Analysis - Attrition</t>
  </si>
  <si>
    <t>Multi-Year Analysis - New Hires</t>
  </si>
  <si>
    <t>Multi-Year Analysis - Salary Changes</t>
  </si>
  <si>
    <t>Multi-Year Analysis Education</t>
  </si>
  <si>
    <t>Enter your district's current and new starting salary below.</t>
  </si>
  <si>
    <t>Total # of Teachers that Leave Annually</t>
  </si>
  <si>
    <t>Total # of New Hires Annually</t>
  </si>
  <si>
    <t>Enter the % change to the salary placement schedule by step for each future year. (i.e. 1% at 0 YOE and Year 1 will increase all salaries at 0 YOE by 1% in Year 1.)</t>
  </si>
  <si>
    <t>Enter the % of teachers with advanced education among newly hired and leaving teachers.</t>
  </si>
  <si>
    <t>Enter teacher attrition rates (%) by year of experience (YOE).</t>
  </si>
  <si>
    <t>Enter the % of new hires by year of experience (YOE).</t>
  </si>
  <si>
    <t>Years of Experience</t>
  </si>
  <si>
    <t>Year 1</t>
  </si>
  <si>
    <t>Year 2</t>
  </si>
  <si>
    <t>Year 3</t>
  </si>
  <si>
    <t>Year 4</t>
  </si>
  <si>
    <t>Year 5</t>
  </si>
  <si>
    <t>% Masters</t>
  </si>
  <si>
    <t>% PhD</t>
  </si>
  <si>
    <t>Starting Salary ($)</t>
  </si>
  <si>
    <t>Teachers that Leave</t>
  </si>
  <si>
    <t>New Hires</t>
  </si>
  <si>
    <t>1b. New Annual Salary Increase</t>
  </si>
  <si>
    <t>Select the method of pay increase your district would like to use in its new compensation system….</t>
  </si>
  <si>
    <t>Percent of Salary Midpoint Increase (%)</t>
  </si>
  <si>
    <t>Multi-Year Analysis - Education Pay</t>
  </si>
  <si>
    <t xml:space="preserve">Enter the additional pay ($) based on education for each future year. </t>
  </si>
  <si>
    <t>1c. Teacher Salary Information</t>
  </si>
  <si>
    <t>Education Level</t>
  </si>
  <si>
    <t>Enter your district's FTE count, current midpoint salary, and desired annual salary increase in the new compensation system for each year of experience.</t>
  </si>
  <si>
    <t>Teacher FTE</t>
  </si>
  <si>
    <t>Current Midpoint Salary</t>
  </si>
  <si>
    <t>New Annual Salary Increase</t>
  </si>
  <si>
    <t>Multi-Year Analysis - Benefits</t>
  </si>
  <si>
    <t>Enter your expected annual percent increase in benefits costs. (%)</t>
  </si>
  <si>
    <t>New Investment Attributed to Teacher Compensation…..</t>
  </si>
  <si>
    <t>Average Compensation</t>
  </si>
  <si>
    <t>What is the current benefits rate that is applied to salary?</t>
  </si>
  <si>
    <t>What is the current benefits rate that is applied to stipends?</t>
  </si>
  <si>
    <t>4a. Effectiveness</t>
  </si>
  <si>
    <t>Enter the categories of your local designation system from least effective to most effective. Then, enter the percent of teachers in each category and the additional pay they receive. You may enter up to 10 categories, but only need to enter the number of categories your district uses or would like to use.</t>
  </si>
  <si>
    <t>Current Additional Pay</t>
  </si>
  <si>
    <t>New Additional Pay</t>
  </si>
  <si>
    <t>4b. Effectiveness</t>
  </si>
  <si>
    <t>5a. Teacher Roles</t>
  </si>
  <si>
    <t>Additional Pay ($)</t>
  </si>
  <si>
    <t>5b. Additional Roles (Optional)</t>
  </si>
  <si>
    <t>How many non-teacher instructional positions does your district have? (e.g. paraprofessionals, aides, teacher residents etc.) Enter up to 5 different roles.</t>
  </si>
  <si>
    <t>Avg Salary</t>
  </si>
  <si>
    <t>Quick Summary Metrics - Principals and APs</t>
  </si>
  <si>
    <r>
      <t>This section includes a running summary of key metrics of the current and new strategic compensation system that you are developing.</t>
    </r>
    <r>
      <rPr>
        <b/>
        <sz val="10"/>
        <rFont val="Calibri"/>
        <family val="2"/>
        <scheme val="minor"/>
      </rPr>
      <t xml:space="preserve"> It will update automatically based on the choices you make to the right.</t>
    </r>
    <r>
      <rPr>
        <sz val="10"/>
        <rFont val="Calibri"/>
        <family val="2"/>
        <scheme val="minor"/>
      </rPr>
      <t xml:space="preserve"> You can find a more in-depth set of metrics on the "Results" tab.</t>
    </r>
  </si>
  <si>
    <t>In this section, you will describe your current and new compensation strategy for princpals and assistant principals. First, ensure the basic level is selected in the INSTRUCTIONS tab. Then, enter your district's information in the yellow cells below. Black cells should not be edited.</t>
  </si>
  <si>
    <t>In this section, you will describe how the costs of your compensation strategy may change over time. Enter your district's information in the yellow cells below. If you do not wish to model the cost of your  compensation system over time, you may leave the cells blank.</t>
  </si>
  <si>
    <t>2. Salary</t>
  </si>
  <si>
    <t>3. Effectiveness</t>
  </si>
  <si>
    <t>4. Critical Needs Areas</t>
  </si>
  <si>
    <t xml:space="preserve">Multi-Year </t>
  </si>
  <si>
    <t>Principals</t>
  </si>
  <si>
    <t>Principal</t>
  </si>
  <si>
    <t>Assistant Principal</t>
  </si>
  <si>
    <t>Assistant Principals</t>
  </si>
  <si>
    <t>Annual Attrition Rate (%)</t>
  </si>
  <si>
    <t>Average New Hire Salary ($)</t>
  </si>
  <si>
    <t>Total Compensation Cost (Principals and APs Only)</t>
  </si>
  <si>
    <t>2. Salary Information</t>
  </si>
  <si>
    <t>Average Salary for School Leaders that Leave ($)</t>
  </si>
  <si>
    <t>Enter the following school leader salary information.</t>
  </si>
  <si>
    <t>Current Average Salary</t>
  </si>
  <si>
    <t>New Average Salary</t>
  </si>
  <si>
    <t>Base Salary</t>
  </si>
  <si>
    <t>Enter the categories of your local designation system from least effective to most effective. Then, enter the percent of school leaders in each category and the amount of additional pay they receive. You may enter up to 10 categories, but only need to enter the number of categories your district uses or would like to use.</t>
  </si>
  <si>
    <t>New Investment Attributed to Principal and AP Compensation…........................................</t>
  </si>
  <si>
    <t>Categories</t>
  </si>
  <si>
    <t>Principal Avg Comp</t>
  </si>
  <si>
    <t>AP Avg Comp</t>
  </si>
  <si>
    <t>4. Critical Needs Areas - High-Need Schools</t>
  </si>
  <si>
    <t>How many school leaders work in high-needs schools?</t>
  </si>
  <si>
    <t xml:space="preserve"> Compensation Strategy</t>
  </si>
  <si>
    <t>In this section, you will describe your current and new compensation strategy for princpals and assistant principals. First, ensure the advanced level is selected in the INSTRUCTIONS tab. Then, enter your district's information in the yellow cells below. Black cells should not be edited.</t>
  </si>
  <si>
    <t>1. Salary and FTE</t>
  </si>
  <si>
    <t>1. Salary and FTE Information</t>
  </si>
  <si>
    <t>Multi-Year - Employee Composition</t>
  </si>
  <si>
    <t>Enter the following employee composition information.</t>
  </si>
  <si>
    <t>FTE</t>
  </si>
  <si>
    <t>Current Average Salary ($)</t>
  </si>
  <si>
    <t>New Average Salary ($)</t>
  </si>
  <si>
    <t>Attrition Rate (%)</t>
  </si>
  <si>
    <t>Average Salary of School Leaders that Leave ($)</t>
  </si>
  <si>
    <t>Elementary</t>
  </si>
  <si>
    <t>Middle</t>
  </si>
  <si>
    <t>High</t>
  </si>
  <si>
    <t>2.  Benefits Rate</t>
  </si>
  <si>
    <t>Multi-Year - Benefits and Salary Increase</t>
  </si>
  <si>
    <t>What is the current benefits rate that applies to salary (%)?</t>
  </si>
  <si>
    <t>What is the current benefits rate that applies to stipends (%)?</t>
  </si>
  <si>
    <t>3a. Effectiveness - Elementary School</t>
  </si>
  <si>
    <t>Enter the categories of your local designation system from least effective to most effective. These categories should be the same for all school levels. Then, enter the percent of school leaders in each category and the amount of additional pay they receive. You may enter up to 10 categories, but only need to enter the number of categories your district uses or would like to use.</t>
  </si>
  <si>
    <t>3b. Effectiveness - Middle School</t>
  </si>
  <si>
    <t>Enter the percent of school leaders in each category and the amount of additional pay they receive. The categories will populate automatically based on the effectiveness categories you entered for the elementary level.</t>
  </si>
  <si>
    <t>3c. Effectiveness - High School</t>
  </si>
  <si>
    <t>4. Critical Need Areas - High Need Schools</t>
  </si>
  <si>
    <t>TEACHER INPUTS</t>
  </si>
  <si>
    <t>TEACHER COMPENSATION STRATEGY ANALYSIS</t>
  </si>
  <si>
    <t>Year 0</t>
  </si>
  <si>
    <t>CURRENT STRATEGY</t>
  </si>
  <si>
    <t>NEW STRATEGY</t>
  </si>
  <si>
    <t>Avg Base Comp by YOE</t>
  </si>
  <si>
    <t>Cost of New Compensation Strategy Over a 5 Year Period</t>
  </si>
  <si>
    <t xml:space="preserve">FTE </t>
  </si>
  <si>
    <t>How many teachers are in your district?</t>
  </si>
  <si>
    <t xml:space="preserve">Total spending on starting salary </t>
  </si>
  <si>
    <t>YOE</t>
  </si>
  <si>
    <t>Year 0 (current)</t>
  </si>
  <si>
    <t xml:space="preserve">Experience </t>
  </si>
  <si>
    <t xml:space="preserve">Late career: Low end of years of experience band </t>
  </si>
  <si>
    <t xml:space="preserve">Raise from starting to max </t>
  </si>
  <si>
    <t>Years to get to max (high end of years of experience band)</t>
  </si>
  <si>
    <t>Late career: Average pay due to experience raises</t>
  </si>
  <si>
    <t xml:space="preserve"> Current Salary Schedule</t>
  </si>
  <si>
    <t xml:space="preserve">What is the starting salary for a teacher with a bachelor's degree and no experience? </t>
  </si>
  <si>
    <t>Late career: Total teachers</t>
  </si>
  <si>
    <t xml:space="preserve">What is the salary increase associated with each step? </t>
  </si>
  <si>
    <t xml:space="preserve">Late career: Total spending on step raises </t>
  </si>
  <si>
    <t xml:space="preserve">What is the maximum salary for a teacher with a bachelor's degree, not including additional stipends for roles? </t>
  </si>
  <si>
    <t>What is the current overall benefits rate?</t>
  </si>
  <si>
    <t xml:space="preserve">Mid-career: Low end of years of experience band </t>
  </si>
  <si>
    <t>New Salary Schedule</t>
  </si>
  <si>
    <t>Starting salary</t>
  </si>
  <si>
    <t xml:space="preserve">Mid-career: High end of years of experience band </t>
  </si>
  <si>
    <t>Max salary bachelor's</t>
  </si>
  <si>
    <t>Mid-career: Average pay due to experience raises</t>
  </si>
  <si>
    <t>Mid-career: Total teachers</t>
  </si>
  <si>
    <t xml:space="preserve">Mid-career: Total spending on step raises </t>
  </si>
  <si>
    <t>Total raises from mid-career years</t>
  </si>
  <si>
    <t>% of Teachers</t>
  </si>
  <si>
    <t>Current Add'l Comp</t>
  </si>
  <si>
    <t>New Add'l Comp</t>
  </si>
  <si>
    <t xml:space="preserve">Novices: Low end of years of experience band </t>
  </si>
  <si>
    <t xml:space="preserve">Novices: High end of years of experience band </t>
  </si>
  <si>
    <t xml:space="preserve">Above master's </t>
  </si>
  <si>
    <t>Novices: Average pay due to experience raises</t>
  </si>
  <si>
    <t>Novices: Total teachers</t>
  </si>
  <si>
    <t>Education - New Comp Strategy</t>
  </si>
  <si>
    <t>Total education spending</t>
  </si>
  <si>
    <t xml:space="preserve">Novices: Total spending on step raises </t>
  </si>
  <si>
    <t>Total raises from novice years</t>
  </si>
  <si>
    <t xml:space="preserve">Total # getting step freezes </t>
  </si>
  <si>
    <t>Total savings (negative #) for ineffectiveness</t>
  </si>
  <si>
    <t xml:space="preserve">Total spending on experience </t>
  </si>
  <si>
    <t xml:space="preserve">% to calculate from </t>
  </si>
  <si>
    <t>Max experience pay</t>
  </si>
  <si>
    <t>Max salary</t>
  </si>
  <si>
    <t>% of max salary (bachelor's only)</t>
  </si>
  <si>
    <t>Difference between starting salary and % of max salary</t>
  </si>
  <si>
    <t>Total years to get to that % of max salary</t>
  </si>
  <si>
    <r>
      <t xml:space="preserve">Pay raise for having </t>
    </r>
    <r>
      <rPr>
        <i/>
        <sz val="11"/>
        <color theme="1"/>
        <rFont val="Calibri"/>
        <family val="2"/>
        <scheme val="minor"/>
      </rPr>
      <t>above a master's</t>
    </r>
    <r>
      <rPr>
        <sz val="11"/>
        <color theme="1"/>
        <rFont val="Calibri"/>
        <family val="2"/>
        <scheme val="minor"/>
      </rPr>
      <t xml:space="preserve"> (over a bachelor's)</t>
    </r>
  </si>
  <si>
    <r>
      <t xml:space="preserve">Pay raise for having a </t>
    </r>
    <r>
      <rPr>
        <i/>
        <sz val="11"/>
        <color theme="1"/>
        <rFont val="Calibri"/>
        <family val="2"/>
        <scheme val="minor"/>
      </rPr>
      <t>master's</t>
    </r>
    <r>
      <rPr>
        <sz val="11"/>
        <color theme="1"/>
        <rFont val="Calibri"/>
        <family val="2"/>
        <scheme val="minor"/>
      </rPr>
      <t xml:space="preserve"> (over a bachelor's)</t>
    </r>
  </si>
  <si>
    <t>Step Freeze for Ineffective Teachers (Y/N)</t>
  </si>
  <si>
    <t xml:space="preserve">Total # masters </t>
  </si>
  <si>
    <t>Total # above masters</t>
  </si>
  <si>
    <t>Master's total spending</t>
  </si>
  <si>
    <t>Roles</t>
  </si>
  <si>
    <t xml:space="preserve">Average additional compensation </t>
  </si>
  <si>
    <t>Above master's total spending</t>
  </si>
  <si>
    <t>Total saving on education compensation</t>
  </si>
  <si>
    <t>Current FTE</t>
  </si>
  <si>
    <t>New FTE</t>
  </si>
  <si>
    <t>Current Comp</t>
  </si>
  <si>
    <t>New Comp</t>
  </si>
  <si>
    <t xml:space="preserve">Total # getting roles compensation </t>
  </si>
  <si>
    <t>Total Compensation on roles</t>
  </si>
  <si>
    <t>Roles - Non-Teacher</t>
  </si>
  <si>
    <t>Role 1 Compensation</t>
  </si>
  <si>
    <t>Role 2 Compensation</t>
  </si>
  <si>
    <t>Role 3 Compensation</t>
  </si>
  <si>
    <t>Role 4 Compensation</t>
  </si>
  <si>
    <t xml:space="preserve">Current </t>
  </si>
  <si>
    <t>Role 5 Compensation</t>
  </si>
  <si>
    <t>Critical Need Areas</t>
  </si>
  <si>
    <t xml:space="preserve">High-needs school: Average additional compensation </t>
  </si>
  <si>
    <t>Total Compensation on non-teacher roles</t>
  </si>
  <si>
    <t>High-needs school: % FTE</t>
  </si>
  <si>
    <t xml:space="preserve">Hard-to-staff subject: Average additional compensation </t>
  </si>
  <si>
    <t>Hard-to-staff subject: % FTE</t>
  </si>
  <si>
    <t xml:space="preserve">Total # getting high-needs school compensation </t>
  </si>
  <si>
    <t>High-needs school: Compensation</t>
  </si>
  <si>
    <t xml:space="preserve">Total # getting hard-to-staff subject compensation </t>
  </si>
  <si>
    <t>Average New Hire YOE</t>
  </si>
  <si>
    <t>Hard-to-staff subject: Compensation</t>
  </si>
  <si>
    <t>Average YOE for Teachers that Leave</t>
  </si>
  <si>
    <t>Total compensation on contributions</t>
  </si>
  <si>
    <t>Expected Cost of Living Adjustment (COLA)</t>
  </si>
  <si>
    <t>Annual Increase in Benefits Costs</t>
  </si>
  <si>
    <t xml:space="preserve">Total # receiving effectiveness compensation </t>
  </si>
  <si>
    <t>Total spending on high effectiveness</t>
  </si>
  <si>
    <t>Cost of benefits applied to salary</t>
  </si>
  <si>
    <t>Cost of benefits applied to stipends</t>
  </si>
  <si>
    <t>Total benefits cost</t>
  </si>
  <si>
    <t>RESULTS</t>
  </si>
  <si>
    <t>TOTAL SPENDING ON TEACHER COMPENSATION (SALARY + BENEFITS)</t>
  </si>
  <si>
    <t>TOTAL SPENDING ON SALARY + STIPENDS</t>
  </si>
  <si>
    <t>AVERAGE TEACHER SALARY + STIPENDS</t>
  </si>
  <si>
    <t>AVERAGE TEACHER SALARY</t>
  </si>
  <si>
    <t>Over 5 Years</t>
  </si>
  <si>
    <t>NEW MULTI-YEAR</t>
  </si>
  <si>
    <t>Change in Comp Cost due to Attrition (negative reflects savings)</t>
  </si>
  <si>
    <t>Change in Comp Cost due to COLAs</t>
  </si>
  <si>
    <t>Change in Comp Cost due to Benefits Increase</t>
  </si>
  <si>
    <t>TOTAL CHANGE IN COST</t>
  </si>
  <si>
    <t>CURRENT MULTI-YEAR</t>
  </si>
  <si>
    <t>PRINCIPAL INPUTS</t>
  </si>
  <si>
    <t>PRINCIPAL COMPENSATION STRATEGY ANALYSIS</t>
  </si>
  <si>
    <t>Cost of Compensation Strategy Over a 5 Year Period</t>
  </si>
  <si>
    <t>How many principals are in your district?</t>
  </si>
  <si>
    <t>Principal Salary</t>
  </si>
  <si>
    <t>How many assistant principals are in your district?</t>
  </si>
  <si>
    <t>Total Principal Salary Cost</t>
  </si>
  <si>
    <t>Assistant Principal Salary</t>
  </si>
  <si>
    <t>Total AP Salary Cost</t>
  </si>
  <si>
    <t>Salary Information</t>
  </si>
  <si>
    <t>Benefits Rate</t>
  </si>
  <si>
    <t>Average Principal Salary</t>
  </si>
  <si>
    <t>Average AP Salary</t>
  </si>
  <si>
    <t>Principal Effectiveness Pay</t>
  </si>
  <si>
    <t>Principal -Effectiveness</t>
  </si>
  <si>
    <t>Assistant Principal - Effectiveness</t>
  </si>
  <si>
    <t>Total principal spending on high effectiveness</t>
  </si>
  <si>
    <t>Assistant Principal Effectiveness Pay</t>
  </si>
  <si>
    <t>Current % FTE</t>
  </si>
  <si>
    <t>New %  FTE</t>
  </si>
  <si>
    <t>Principal - high needs school</t>
  </si>
  <si>
    <t>Assistant Principal - high needs school</t>
  </si>
  <si>
    <t>Principal - Multi-Year</t>
  </si>
  <si>
    <t>Average New Hire Salary</t>
  </si>
  <si>
    <t>Average Salary for Principals that Leave</t>
  </si>
  <si>
    <t>Assistant Principal - Multi-Year</t>
  </si>
  <si>
    <t>Average Salary for Assistant Principals that Leave</t>
  </si>
  <si>
    <t>Total assistant principal spending on high effectiveness</t>
  </si>
  <si>
    <t/>
  </si>
  <si>
    <t>New Hire Salary Over Time</t>
  </si>
  <si>
    <t>Total Effectiveness</t>
  </si>
  <si>
    <t>Total Principal and AP Spending on Effectiveness</t>
  </si>
  <si>
    <t>Salary for Principals that Leave Over Time</t>
  </si>
  <si>
    <t>Principal Critical Need Areas</t>
  </si>
  <si>
    <t>Total # working in high needs schools</t>
  </si>
  <si>
    <t>Compensation for working in high needs schools</t>
  </si>
  <si>
    <t>Salary for Assistant Principals that Leave Over Time</t>
  </si>
  <si>
    <t>Assistant Principal Critical Need Areas</t>
  </si>
  <si>
    <t>Total Critical Needs</t>
  </si>
  <si>
    <t>Total Principal and AP compensation for working in high-needs schools</t>
  </si>
  <si>
    <t>Principal Salary Benefits</t>
  </si>
  <si>
    <t>Principal Stipend Benefits</t>
  </si>
  <si>
    <t>Assistant Principal Salary Benefits</t>
  </si>
  <si>
    <t>Assistant Principal Stipend Benefits</t>
  </si>
  <si>
    <t>Total Benefits</t>
  </si>
  <si>
    <t>Results</t>
  </si>
  <si>
    <t>TOTAL SPENDING ON PRINCIPAL COMPENSATION (SALARY + BENEFITS)</t>
  </si>
  <si>
    <t>TOTAL SPENDING ON PRINCIPAL SALARY</t>
  </si>
  <si>
    <t>AVERAGE PRINCIPAL SALARY + STIPENDS</t>
  </si>
  <si>
    <t>TOTAL SPENDING ON ASSISTANT PRINCIPAL COMPENSATION (SALARY + BENEFITS)</t>
  </si>
  <si>
    <t>TOTAL SPENDING ON ASSISTANT PRINCIPAL SALARY</t>
  </si>
  <si>
    <t>AVERAGE ASSISTANT PRINCIPAL SALARY</t>
  </si>
  <si>
    <t>TOTAL ADMIN COMPENSATION</t>
  </si>
  <si>
    <t>TOTAL ADMIN SALARY + STIPENDS</t>
  </si>
  <si>
    <t>AVERAGE ADMIN SALARY + STIPENDS</t>
  </si>
  <si>
    <t>New Principal - Multi-Year</t>
  </si>
  <si>
    <t>Change in Comp Cost due to Attrition</t>
  </si>
  <si>
    <t>New Assistant Principal - Multi-Year</t>
  </si>
  <si>
    <t>New Overall Multi-Year</t>
  </si>
  <si>
    <t>Total Change in Principal and AP Comp Cost due to Attrition</t>
  </si>
  <si>
    <t>Total Change in Principal and AP Comp Cost due to COLAs</t>
  </si>
  <si>
    <t>Total Change in Principal and AP Comp Cost due to Benefits Increase</t>
  </si>
  <si>
    <t>OVERALL TOTAL CHANGE IN COST</t>
  </si>
  <si>
    <t>Current Principal - Multi-Year</t>
  </si>
  <si>
    <t>Current Assistant Principal - Multi-Year</t>
  </si>
  <si>
    <t>Current Overall Multi-Year</t>
  </si>
  <si>
    <t>DISTRICT INPUTS</t>
  </si>
  <si>
    <t>Total  Salary</t>
  </si>
  <si>
    <t>Total spending on salary</t>
  </si>
  <si>
    <t>Current Teacher Salary Information</t>
  </si>
  <si>
    <t>Midpoint Salary</t>
  </si>
  <si>
    <t>Incremental Increase</t>
  </si>
  <si>
    <t>Difference</t>
  </si>
  <si>
    <t>Difference * FTE Count</t>
  </si>
  <si>
    <t>Total spending on starting salary</t>
  </si>
  <si>
    <t>Total spending on experience</t>
  </si>
  <si>
    <t>Total spending on education</t>
  </si>
  <si>
    <t>Total # Role 1</t>
  </si>
  <si>
    <t>Total # Role 2</t>
  </si>
  <si>
    <t>Total # Role 3</t>
  </si>
  <si>
    <t>Total # Role 4</t>
  </si>
  <si>
    <t>Total # Role 5</t>
  </si>
  <si>
    <t>experience pay:</t>
  </si>
  <si>
    <t>Total Compensation on Non-Teacher Roles</t>
  </si>
  <si>
    <t>Total Teacher FTE</t>
  </si>
  <si>
    <t>Current Salary Increase</t>
  </si>
  <si>
    <t>Avg Annual Salary Increase</t>
  </si>
  <si>
    <t xml:space="preserve">$-   </t>
  </si>
  <si>
    <t xml:space="preserve"> $-   </t>
  </si>
  <si>
    <t xml:space="preserve">Role 1: Average additional compensation </t>
  </si>
  <si>
    <t>Total # getting step freezes</t>
  </si>
  <si>
    <t>Role 1: % FTE</t>
  </si>
  <si>
    <t>Total savings from step freeze</t>
  </si>
  <si>
    <t xml:space="preserve">Role 2: Average additional compensation </t>
  </si>
  <si>
    <t>Role 2: % FTE</t>
  </si>
  <si>
    <t xml:space="preserve">Role 3: Average additional compensation </t>
  </si>
  <si>
    <t>Cost of Benefits Applied to Salary</t>
  </si>
  <si>
    <t>Role 3: % FTE</t>
  </si>
  <si>
    <t>Cost of Benefits Applied to Stipends</t>
  </si>
  <si>
    <t xml:space="preserve">Role 4: Average additional compensation </t>
  </si>
  <si>
    <t>Role 4: % FTE</t>
  </si>
  <si>
    <t xml:space="preserve">Role 5: Average additional compensation </t>
  </si>
  <si>
    <t>TOTAL SPENDING ON TEACHER COMPENSATION (SALARY, STIPENDS, BENEFITS, NON-TEACHER ROLES)</t>
  </si>
  <si>
    <t>Role 5: % FTE</t>
  </si>
  <si>
    <t>TOTAL SPENDING ON SALARY</t>
  </si>
  <si>
    <t>TOTAL SPENDING ON STIPENDS</t>
  </si>
  <si>
    <t>Change in Comp Cost due to Changes in Salary Costs (COLA etc)</t>
  </si>
  <si>
    <t>Change in Comp Cost due to Education Pay</t>
  </si>
  <si>
    <t>TOTAL CHANGE IN COST (negative reflects savings)</t>
  </si>
  <si>
    <t>Benefits Rate for Salary</t>
  </si>
  <si>
    <t>Benefits Rate for Stipends</t>
  </si>
  <si>
    <t>Annual Increase in Benefits Rate</t>
  </si>
  <si>
    <t>New Teacher Salary Information</t>
  </si>
  <si>
    <t>Salary</t>
  </si>
  <si>
    <t>Difference * FTE</t>
  </si>
  <si>
    <t>Salary Difference</t>
  </si>
  <si>
    <t>New Multi-Year Analysis - Attrition Table</t>
  </si>
  <si>
    <t># of teachers leaving</t>
  </si>
  <si>
    <t># of new hires</t>
  </si>
  <si>
    <t>Totals</t>
  </si>
  <si>
    <t>New Multi-Year Analysis - Impact of Education Level on Attrition Cost Changes</t>
  </si>
  <si>
    <t>MA</t>
  </si>
  <si>
    <t>PhD</t>
  </si>
  <si>
    <t>Savings from Teachers that Leave</t>
  </si>
  <si>
    <t>New Costs from New Hires</t>
  </si>
  <si>
    <t>Cost Difference (negative reflects savings)</t>
  </si>
  <si>
    <t>Total  Cost Difference….................................................................</t>
  </si>
  <si>
    <t>New Multi-Year Analysis - Change in Cost due to Education Pay</t>
  </si>
  <si>
    <t>Change in MA Stipend</t>
  </si>
  <si>
    <t>Total Change in MA Cost</t>
  </si>
  <si>
    <t>Change in PhD Stipend</t>
  </si>
  <si>
    <t>Total Change in PhD Cost</t>
  </si>
  <si>
    <t>Total Change in Cost</t>
  </si>
  <si>
    <t>Total Change in Cost….......................................................................................................................................</t>
  </si>
  <si>
    <t>New Multi-Year Analysis - Change in Salary Costs Over Time</t>
  </si>
  <si>
    <t>Projected Salaries in Future Years</t>
  </si>
  <si>
    <t>Difference from Current Salary</t>
  </si>
  <si>
    <t>Total Cost Difference by Year of Experience</t>
  </si>
  <si>
    <t xml:space="preserve">TOTAL </t>
  </si>
  <si>
    <t>Current  Multi-Year Analysis - Attrition Table</t>
  </si>
  <si>
    <t>Current Multi-Year Analysis - Impact of Education Level on Attrition Cost Changes</t>
  </si>
  <si>
    <t>Current Multi-Year Analysis - Change in Salary Costs Over Time</t>
  </si>
  <si>
    <t>Difference from Current Salary with No Changes Over Time</t>
  </si>
  <si>
    <t>Elementary Salary</t>
  </si>
  <si>
    <t>Total Principal Compensation</t>
  </si>
  <si>
    <t>Total Assistant Principal Compensation</t>
  </si>
  <si>
    <t>Middle Salary</t>
  </si>
  <si>
    <t>High Salary</t>
  </si>
  <si>
    <t>Salary and FTE Information</t>
  </si>
  <si>
    <t>Midpoint Salary ($)</t>
  </si>
  <si>
    <t>Elementary Principal Effectiveness Pay</t>
  </si>
  <si>
    <t>Elementary Principal -Effectiveness</t>
  </si>
  <si>
    <t>ELEMENTARY</t>
  </si>
  <si>
    <t>Elementary Assistant Principal Effectiveness Pay</t>
  </si>
  <si>
    <t>Elementary Assistant Principal - Effectiveness</t>
  </si>
  <si>
    <t>Middle Principal -Effectiveness</t>
  </si>
  <si>
    <t>MIDDLE</t>
  </si>
  <si>
    <t>Middle Principal Effectiveness Pay</t>
  </si>
  <si>
    <t>Middle Assistant Principal - Effectiveness</t>
  </si>
  <si>
    <t>High Principal -Effectiveness</t>
  </si>
  <si>
    <t>HIGH</t>
  </si>
  <si>
    <t>Middle Assistant Principal Effectiveness Pay</t>
  </si>
  <si>
    <t>High Assistant Principal - Effectiveness</t>
  </si>
  <si>
    <t>Elementary -Critical Need Areas</t>
  </si>
  <si>
    <t>ES</t>
  </si>
  <si>
    <t>New % FTE</t>
  </si>
  <si>
    <t>High Principal Effectiveness Pay</t>
  </si>
  <si>
    <t>Middle -Critical Need Areas</t>
  </si>
  <si>
    <t>MS</t>
  </si>
  <si>
    <t>High -Critical Need Areas</t>
  </si>
  <si>
    <t>HS</t>
  </si>
  <si>
    <t>Elementary - Multi-Year</t>
  </si>
  <si>
    <t>Average Salary for Admin that Leave</t>
  </si>
  <si>
    <t>Middle - Multi-Year</t>
  </si>
  <si>
    <t>High - Multi-Year</t>
  </si>
  <si>
    <t>High Assistant Principal Effectiveness Pay</t>
  </si>
  <si>
    <t>Multi - Year COLA</t>
  </si>
  <si>
    <t>Annual Cost of Living Adjustment (COLA)</t>
  </si>
  <si>
    <t xml:space="preserve">Elementary </t>
  </si>
  <si>
    <t>Average New Hire Salary - Principal</t>
  </si>
  <si>
    <t>Average Salary for Admin that Leave -Principal</t>
  </si>
  <si>
    <t>Average New Hire Salary - Assistant Principal</t>
  </si>
  <si>
    <t>Average Salary for Admin that Leave -Assistant Principal</t>
  </si>
  <si>
    <t>Elementary Critical Need Areas</t>
  </si>
  <si>
    <t>Principals - Total # working in high needs schools</t>
  </si>
  <si>
    <t>Principals - Compensation for working in high needs schools</t>
  </si>
  <si>
    <t>Assistant Principals - Total # working in high needs schools</t>
  </si>
  <si>
    <t>Assistant Principals - Compensation for working in high needs schools</t>
  </si>
  <si>
    <t>Middle Critical Need Areas</t>
  </si>
  <si>
    <t>High Critical Need Areas</t>
  </si>
  <si>
    <t>Total Compensation for Critical Needs</t>
  </si>
  <si>
    <t>TOTAL SPENDING ON PRINCIPAL SALARY + STIPENDS</t>
  </si>
  <si>
    <t>AVG PRINCIPAL SALARY + STIPENDS</t>
  </si>
  <si>
    <t>AVG AP SALARY + STIPENDS</t>
  </si>
  <si>
    <t>TOTAL ADMIN SALARY</t>
  </si>
  <si>
    <t>New Multi-Year  - Attrition</t>
  </si>
  <si>
    <t>ES Principal - Change in Comp Cost due to Attrition</t>
  </si>
  <si>
    <t>ES AP - Change in Comp Cost due to Attrition</t>
  </si>
  <si>
    <t>MS Principal - Change in Comp Cost due to Attrition</t>
  </si>
  <si>
    <t>MS AP - Change in Comp Cost due to Attrition</t>
  </si>
  <si>
    <t>HS Principal - Change in Comp Cost due to Attrition</t>
  </si>
  <si>
    <t>HS AP - Change in Comp Cost due to Attrition</t>
  </si>
  <si>
    <t>Current Multi-Year  - Attrition</t>
  </si>
  <si>
    <t>Overall</t>
  </si>
  <si>
    <t>Cost Over Time</t>
  </si>
  <si>
    <t>Teacher Comp</t>
  </si>
  <si>
    <t>Principal Comp</t>
  </si>
  <si>
    <t>TOTAL</t>
  </si>
  <si>
    <t>Helper Columns</t>
  </si>
  <si>
    <t>AP</t>
  </si>
  <si>
    <t xml:space="preserve">New </t>
  </si>
  <si>
    <t>Effectiveness Level</t>
  </si>
  <si>
    <t>Current Comp with 10 YOE</t>
  </si>
  <si>
    <t>New Comp with 10 YOE</t>
  </si>
  <si>
    <t>Current Comp with 1 YOE</t>
  </si>
  <si>
    <t>New Comp with 1 YOE</t>
  </si>
  <si>
    <t>Fast Moving Teacher</t>
  </si>
  <si>
    <t>Slow Moving Teacher</t>
  </si>
  <si>
    <t>Effectiveness Pay</t>
  </si>
  <si>
    <t>Total Pay</t>
  </si>
  <si>
    <t>Critical Needs Spending</t>
  </si>
  <si>
    <t>INPUTS</t>
  </si>
  <si>
    <t>ANALYSIS</t>
  </si>
  <si>
    <t>Teacher Utilization - Core Subjects</t>
  </si>
  <si>
    <t>K-5</t>
  </si>
  <si>
    <t>6-8</t>
  </si>
  <si>
    <t>9-12</t>
  </si>
  <si>
    <t># of classes needing coverage</t>
  </si>
  <si>
    <t>Enrollment</t>
  </si>
  <si>
    <t>FTE needed per subject</t>
  </si>
  <si>
    <t>total FTE needed</t>
  </si>
  <si>
    <t>cost of teacher comp</t>
  </si>
  <si>
    <t>Teacher Utilization - Electives</t>
  </si>
  <si>
    <t>Core Class Size</t>
  </si>
  <si>
    <t>Elective Class Size</t>
  </si>
  <si>
    <t>Teacher Utilization - Savings</t>
  </si>
  <si>
    <t>Current Cost of Teacher Comp</t>
  </si>
  <si>
    <t>New Cost of Teacher Comp</t>
  </si>
  <si>
    <t>Utilization</t>
  </si>
  <si>
    <t>Average Comp</t>
  </si>
  <si>
    <t>FTE Converted</t>
  </si>
  <si>
    <t>Teaching Salary</t>
  </si>
  <si>
    <t>Role Salary</t>
  </si>
  <si>
    <t>Summary Metrics - Tradeoff Levers</t>
  </si>
  <si>
    <t>Teacher Incentive Allotment</t>
  </si>
  <si>
    <t>FTE Adjustments</t>
  </si>
  <si>
    <t>Other Savings Options</t>
  </si>
  <si>
    <t>This section includes a running summary of the tradeoffs you can make to repurpose money into spending on strategic compensation. It will update automatically based on the decisions you make to the right.</t>
  </si>
  <si>
    <t>This section allows you to estimate your district's TIA funds and make decisions about how to spend it.</t>
  </si>
  <si>
    <t>This section allows you to change the number of teacher FTE needed in your district through adjustments to class size, teacher utilization, and vacancies.</t>
  </si>
  <si>
    <t>This section allows you to reduce spending in a variety of other areas in order to repurpose the money for teacher compensation.</t>
  </si>
  <si>
    <t>Cost and Savings Summary</t>
  </si>
  <si>
    <t>Estimated Allotment</t>
  </si>
  <si>
    <t xml:space="preserve">Class Size Adjustments </t>
  </si>
  <si>
    <t xml:space="preserve">Other Savings Options </t>
  </si>
  <si>
    <t>Additional Funding Needed</t>
  </si>
  <si>
    <t xml:space="preserve">Enter the average allotment generated by each of the three designations listed below. </t>
  </si>
  <si>
    <t>Enter total enrollment, current average class size, and proposed average class size fro core classes by grade level. Increasing class size may reduce the number of teachers your district needs.</t>
  </si>
  <si>
    <t>For each of the options below that you would like to use, enter your district's current spending and desired percent reduction. The savings will calculate automatically on the right.</t>
  </si>
  <si>
    <t>Identified Amount of Potential Savings</t>
  </si>
  <si>
    <t>Find average allotments for your district here.</t>
  </si>
  <si>
    <t>Grade Level</t>
  </si>
  <si>
    <t>Total Enrollment</t>
  </si>
  <si>
    <t>Current Average Class Size</t>
  </si>
  <si>
    <t>Proposed Average Class Size</t>
  </si>
  <si>
    <t>Difference in Cost…..............................</t>
  </si>
  <si>
    <t>Recognized</t>
  </si>
  <si>
    <t>Exemplary</t>
  </si>
  <si>
    <t>Master</t>
  </si>
  <si>
    <t>Current Spending</t>
  </si>
  <si>
    <t>Percentage Reduction</t>
  </si>
  <si>
    <t>Savings</t>
  </si>
  <si>
    <t>Reduce spending on non-instructional teacher stipends…</t>
  </si>
  <si>
    <t>Total Costs of Compensation</t>
  </si>
  <si>
    <t>Reduce central office spending by….</t>
  </si>
  <si>
    <t>Eligible FTE</t>
  </si>
  <si>
    <t>Reduce instructional coach roles by…</t>
  </si>
  <si>
    <t>Teacher Compensation Cost</t>
  </si>
  <si>
    <t>Enter the % of teacher FTE that are currently eligible for TIA.</t>
  </si>
  <si>
    <t>Class Size Adjustments</t>
  </si>
  <si>
    <t>Reduce school-based clerical staff by…</t>
  </si>
  <si>
    <t>Principal and AP Compensation Cost</t>
  </si>
  <si>
    <t>Enter your current and proposed average class size for electives below.</t>
  </si>
  <si>
    <t>Reduce spending on operations and maintenance by…</t>
  </si>
  <si>
    <t>% Eligible FTE</t>
  </si>
  <si>
    <t>Reduce spending on school support staff by…</t>
  </si>
  <si>
    <t>Additional Funding Needed….......................................</t>
  </si>
  <si>
    <t>MS Electives</t>
  </si>
  <si>
    <t>Reduce spending on professional development by….</t>
  </si>
  <si>
    <t>HS Electives</t>
  </si>
  <si>
    <t>Reduce spending on benefits costs by…</t>
  </si>
  <si>
    <t>Additional Sources of Funding</t>
  </si>
  <si>
    <t>Enter the percent FTE that correspond with each designation to estimate your district's TIA funds:</t>
  </si>
  <si>
    <t>Reduce spending on contracted services by…</t>
  </si>
  <si>
    <t>Applied TIA Allotment</t>
  </si>
  <si>
    <t>Teacher Utilization Adjustments</t>
  </si>
  <si>
    <t>Savings Levers</t>
  </si>
  <si>
    <t>Periods Per Day</t>
  </si>
  <si>
    <t>Current Teaching Periods</t>
  </si>
  <si>
    <t>Proposed Teaching Periods</t>
  </si>
  <si>
    <t>Total Additional Funding…....................</t>
  </si>
  <si>
    <t>Total Allotment Generated ($)</t>
  </si>
  <si>
    <t>Minimum 90% Share Used for Teacher Compensation</t>
  </si>
  <si>
    <t>Maximum 10% Share Used for Implementation Support</t>
  </si>
  <si>
    <t>Your estimated TIA funds are…............</t>
  </si>
  <si>
    <t>Depending on your current FTE count and the actual class enrollments in your district, the savings estimated here may be greater than the savings that is possible in reality.</t>
  </si>
  <si>
    <t>Current Utilization</t>
  </si>
  <si>
    <t>New Utilization</t>
  </si>
  <si>
    <t>FTE Needed</t>
  </si>
  <si>
    <t>Increasing the % of teacher FTE eligible for TIA is one way to increase your estimated TIA funds. See how your estimated funds change by increasing the % of eligible FTE.</t>
  </si>
  <si>
    <t>Vacant Positions and Non-Teacher Instructional Roles</t>
  </si>
  <si>
    <t>Converting vacant teaching positions to other instructional positions is one potential way to realize savings. Use the space below to convert positions. The roles and FTE counts listed are prepopulated based on what has been entered in the inputs page. Revisit the 'Additional Roles' section of the teacher inputs tabs if no roles are listed.</t>
  </si>
  <si>
    <t>Number of FTE Added</t>
  </si>
  <si>
    <t>% of Positions to Replace Teaching Positions</t>
  </si>
  <si>
    <t>Estimated TIA funds</t>
  </si>
  <si>
    <t>With your updated percentage of eligible FTE, you have…...............</t>
  </si>
  <si>
    <t xml:space="preserve"> more in TIA funds.</t>
  </si>
  <si>
    <t>Distribute Your Total Allotment</t>
  </si>
  <si>
    <t>Enter the percentage of your total TIA allocation that will be used for incentive payments to designated teachers, other eligible staff, and implementation support.</t>
  </si>
  <si>
    <t>Designated Teachers</t>
  </si>
  <si>
    <t>Other Eligible Staff</t>
  </si>
  <si>
    <t>Implementation Support (Max of 10%)</t>
  </si>
  <si>
    <t>Select Percentage:</t>
  </si>
  <si>
    <t>Allotments Based On Selected Percentage</t>
  </si>
  <si>
    <t>TIA Spending - Designated Teachers</t>
  </si>
  <si>
    <t>The TIA funds used for teacher compensation may be put toward compensation based on effectiveness, roles, or critical need areas as long as they are spent at the campus of the teacher earning a designation. Your new compenstion system spends the following amounts on those aspects of teacher compensation:</t>
  </si>
  <si>
    <t>TIA-Eligible Spending</t>
  </si>
  <si>
    <t>TIA Generated</t>
  </si>
  <si>
    <t>Teacher Compensation Strategy Results</t>
  </si>
  <si>
    <t>Principal and AP Compensation Strategy Results</t>
  </si>
  <si>
    <t>Overall Results</t>
  </si>
  <si>
    <t>Strategic Compensation Power Metrics</t>
  </si>
  <si>
    <t>This table displays a set of key metrics across four major areas of teacher compensation. A system that is becoming more strategic in its compensation would expect to increase spending on effectiveness, high needs schools, and early career teacher pay while decreasing spending on education pay.</t>
  </si>
  <si>
    <t>This table displays a set of key metrics across two major areas of principal and assistant principal compensation. A system that is becoming more strategic in its compensation would expect to increase spending on effectivenes and high needs schools.</t>
  </si>
  <si>
    <t>Overall Total Compensation Cost</t>
  </si>
  <si>
    <t>1. Goal: Increase Spending on Effectiveness</t>
  </si>
  <si>
    <t>$ Per Teacher</t>
  </si>
  <si>
    <t>$ Per Principal/AP</t>
  </si>
  <si>
    <t>Teacher Compensation</t>
  </si>
  <si>
    <t>% of Total Teacher Comp Spending</t>
  </si>
  <si>
    <t>% of Total Principal and AP Comp Spending</t>
  </si>
  <si>
    <t>Principal and AP Compensation</t>
  </si>
  <si>
    <t>2. Goal: Increase Spending on High Needs Schools</t>
  </si>
  <si>
    <t>3. Goal: Reduce Spending on Education Pay</t>
  </si>
  <si>
    <t>The chart above shows the current and new cost of your teacher compensation strategy broken down into its different cost components.</t>
  </si>
  <si>
    <t>The chart above shows the current and new cost of your principal and assistant principal (AP) compensation strategy broken down into its different cost components.</t>
  </si>
  <si>
    <t>The chart above shows the current and new cost of your overall compensation strategy broken down into teacher compensation and principal/AP compensation.</t>
  </si>
  <si>
    <t>4. Goal: Increase the Earning Potential of Early Career Teachers (Years 1-5)</t>
  </si>
  <si>
    <t>Maximum Earning Increase in First Five Years</t>
  </si>
  <si>
    <t>This table shows how the costs of both the current and new compensation system may change over the next five years. The total change in cost represents how much each respective strategy will increase or decrease in cost over the next five years. The total difference in cost reflects how much more the new compensation strategy will cost over the next five years compared to the current strategy.</t>
  </si>
  <si>
    <t>New Investment Attributed to Principal and AP Compensation…......................................................</t>
  </si>
  <si>
    <t>% Change in Cost</t>
  </si>
  <si>
    <t xml:space="preserve">Total Compensation Cost </t>
  </si>
  <si>
    <t>The chart above shows teacher compensation for teachers with ten years of experience by each effectiveness designation in both the current and new system. The data reflects compensation that is possible for teachers that earn the designsations listed above. Any effectiveness designations not used are left blank.</t>
  </si>
  <si>
    <t>The chart above shows principal compensation by each effectiveness designation in both the current and new system. Any effectiveness designations not used are left blank.</t>
  </si>
  <si>
    <t xml:space="preserve">The chart above shows how the cost of your overall current and new compensation strategy changes over the course of five years. </t>
  </si>
  <si>
    <t>Net Difference</t>
  </si>
  <si>
    <t xml:space="preserve">The table above shows the overall cost of your current and new compensation strategy over time, in addition to the net difference between the two. The net difference (if positive) represents the additional investment required by your new compensation strategy. </t>
  </si>
  <si>
    <t>$ per person</t>
  </si>
  <si>
    <t>Principals (All School Levels)</t>
  </si>
  <si>
    <t>Assistant Principals (All School Levels)</t>
  </si>
  <si>
    <t>The chart above shows assistant principal compensation by effectiveness designation in both the current and new system. Any effectiveness designations that are not used are left blank.</t>
  </si>
  <si>
    <t>The chart above shows the teacher compensation possible over the first ten years of a teacher's career in both the current and new system. The two orange lines represent the differing pay trajectories for teachers that move along the effectiveness scale at different rates. The chart assumes Teacher 1 is moving up one effectiveness level every two years, while Teacher 2 is moving up an effectiveness level every three years. For example, it would take Teacher 1 ten years to reach the highest designation level in a system with five effectiveness designations.</t>
  </si>
  <si>
    <t>Example Teacher Salaries</t>
  </si>
  <si>
    <t>This table shows teacher salaries for teachers with various attributes under the current and new compensation systems.</t>
  </si>
  <si>
    <t>3 YOE + Critical Position</t>
  </si>
  <si>
    <t>10 YOE + High Need School</t>
  </si>
  <si>
    <t>20 YOE + Master Designation + Role</t>
  </si>
  <si>
    <t xml:space="preserve">The chart above shows how the cost of your current and new principal and assistant principal compensation strategy changes over the course of five years. </t>
  </si>
  <si>
    <t xml:space="preserve">The chart above shows how the cost of your currrent and new teacher compensation strategy changes over the course of five years. </t>
  </si>
  <si>
    <t xml:space="preserve">The table above shows the cost of your current and new school leader compensation strategy over time, in addition to the net difference between the two. The net difference (if positive) represents the additional investment required by your new compensation strategy. </t>
  </si>
  <si>
    <t xml:space="preserve">The table above shows the cost of your current and new teacher compensation strategy over time, in addition to the net difference between the two. The net difference (if positive) represents the additional investment required by your new compensation strategy.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</si>
</sst>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_(&quot;$&quot;* #,##0_);_(&quot;$&quot;* \(#,##0\);_(&quot;$&quot;* &quot;-&quot;??_);_(@_)"/>
    <numFmt numFmtId="165" formatCode="_(* #,##0_);_(* \(#,##0\);_(* &quot;-&quot;??_);_(@_)"/>
    <numFmt numFmtId="166" formatCode="0.0%"/>
    <numFmt numFmtId="167" formatCode="_(&quot;$&quot;* #,##0_);_(&quot;$&quot;* \(#,##0\);_(&quot;$&quot;* &quot;-&quot;?_);_(@_)"/>
    <numFmt numFmtId="168" formatCode="_(&quot;$&quot;* #,##0.0_);_(&quot;$&quot;* \(#,##0.0\);_(&quot;$&quot;* &quot;-&quot;?_);_(@_)"/>
    <numFmt numFmtId="169" formatCode="&quot;$&quot;#,##0"/>
    <numFmt numFmtId="170" formatCode="0.0"/>
    <numFmt numFmtId="171" formatCode="&quot;$&quot;#,##0.00"/>
    <numFmt numFmtId="172" formatCode="_(* #,##0.0_);_(* \(#,##0.0\);_(* &quot;-&quot;?_);_(@_)"/>
  </numFmts>
  <fonts count="44">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i/>
      <sz val="11"/>
      <color theme="1"/>
      <name val="Calibri"/>
      <family val="2"/>
      <scheme val="minor"/>
    </font>
    <font>
      <sz val="11"/>
      <name val="Calibri"/>
      <family val="2"/>
      <scheme val="minor"/>
    </font>
    <font>
      <sz val="20"/>
      <color theme="1"/>
      <name val="Calibri"/>
      <family val="2"/>
      <scheme val="minor"/>
    </font>
    <font>
      <b/>
      <sz val="11"/>
      <name val="Calibri"/>
      <family val="2"/>
      <scheme val="minor"/>
    </font>
    <font>
      <sz val="11"/>
      <color rgb="FF000000"/>
      <name val="Calibri"/>
      <family val="2"/>
    </font>
    <font>
      <sz val="9"/>
      <color indexed="81"/>
      <name val="Tahoma"/>
      <family val="2"/>
    </font>
    <font>
      <b/>
      <sz val="9"/>
      <color indexed="81"/>
      <name val="Tahoma"/>
      <family val="2"/>
    </font>
    <font>
      <sz val="11"/>
      <color rgb="FFFF0000"/>
      <name val="Calibri"/>
      <family val="2"/>
      <scheme val="minor"/>
    </font>
    <font>
      <sz val="14"/>
      <color theme="1"/>
      <name val="Calibri"/>
      <family val="2"/>
      <scheme val="minor"/>
    </font>
    <font>
      <b/>
      <sz val="14"/>
      <color theme="0"/>
      <name val="Calibri"/>
      <family val="2"/>
      <scheme val="minor"/>
    </font>
    <font>
      <b/>
      <sz val="14"/>
      <color rgb="FF2F5496"/>
      <name val="Calibri Light"/>
      <family val="2"/>
    </font>
    <font>
      <b/>
      <sz val="16"/>
      <color theme="1"/>
      <name val="Calibri"/>
      <family val="2"/>
      <scheme val="minor"/>
    </font>
    <font>
      <b/>
      <sz val="16"/>
      <name val="Calibri"/>
      <family val="2"/>
      <scheme val="minor"/>
    </font>
    <font>
      <sz val="11"/>
      <color theme="7" tint="0.79998168889431442"/>
      <name val="Calibri"/>
      <family val="2"/>
      <scheme val="minor"/>
    </font>
    <font>
      <u/>
      <sz val="11"/>
      <color theme="10"/>
      <name val="Calibri"/>
      <family val="2"/>
      <scheme val="minor"/>
    </font>
    <font>
      <sz val="11"/>
      <color theme="9"/>
      <name val="Calibri"/>
      <family val="2"/>
      <scheme val="minor"/>
    </font>
    <font>
      <sz val="11"/>
      <color rgb="FF006100"/>
      <name val="Calibri"/>
      <family val="2"/>
      <scheme val="minor"/>
    </font>
    <font>
      <sz val="11"/>
      <color rgb="FF9C0006"/>
      <name val="Calibri"/>
      <family val="2"/>
      <scheme val="minor"/>
    </font>
    <font>
      <b/>
      <sz val="11"/>
      <color rgb="FFFF0000"/>
      <name val="Calibri"/>
      <family val="2"/>
      <scheme val="minor"/>
    </font>
    <font>
      <sz val="11"/>
      <color rgb="FF000000"/>
      <name val="Calibri"/>
      <family val="2"/>
      <scheme val="minor"/>
    </font>
    <font>
      <b/>
      <sz val="11"/>
      <color rgb="FF000000"/>
      <name val="Calibri"/>
      <family val="2"/>
      <scheme val="minor"/>
    </font>
    <font>
      <b/>
      <sz val="11"/>
      <color rgb="FFFFFFFF"/>
      <name val="Calibri"/>
      <family val="2"/>
      <scheme val="minor"/>
    </font>
    <font>
      <b/>
      <sz val="12"/>
      <color theme="1"/>
      <name val="Calibri"/>
      <family val="2"/>
      <scheme val="minor"/>
    </font>
    <font>
      <sz val="10"/>
      <color theme="1"/>
      <name val="Calibri"/>
      <family val="2"/>
      <scheme val="minor"/>
    </font>
    <font>
      <b/>
      <sz val="14"/>
      <color theme="1"/>
      <name val="Calibri"/>
      <family val="2"/>
      <scheme val="minor"/>
    </font>
    <font>
      <sz val="10"/>
      <name val="Calibri"/>
      <family val="2"/>
      <scheme val="minor"/>
    </font>
    <font>
      <b/>
      <sz val="18"/>
      <color theme="0"/>
      <name val="Calibri Light"/>
      <family val="2"/>
    </font>
    <font>
      <sz val="18"/>
      <color theme="0"/>
      <name val="Calibri"/>
      <family val="2"/>
      <scheme val="minor"/>
    </font>
    <font>
      <b/>
      <sz val="18"/>
      <color rgb="FFFFFFFF"/>
      <name val="Calibri Light"/>
      <family val="2"/>
    </font>
    <font>
      <b/>
      <u/>
      <sz val="11"/>
      <color theme="1"/>
      <name val="Calibri"/>
      <family val="2"/>
      <scheme val="minor"/>
    </font>
    <font>
      <b/>
      <u/>
      <sz val="12"/>
      <color theme="1"/>
      <name val="Calibri"/>
      <family val="2"/>
      <scheme val="minor"/>
    </font>
    <font>
      <b/>
      <sz val="12"/>
      <color theme="0"/>
      <name val="Calibri"/>
      <family val="2"/>
      <scheme val="minor"/>
    </font>
    <font>
      <sz val="10"/>
      <color rgb="FFFF0000"/>
      <name val="Calibri"/>
      <family val="2"/>
      <scheme val="minor"/>
    </font>
    <font>
      <b/>
      <sz val="10"/>
      <color theme="1"/>
      <name val="Calibri"/>
      <family val="2"/>
      <scheme val="minor"/>
    </font>
    <font>
      <b/>
      <sz val="10"/>
      <name val="Calibri"/>
      <family val="2"/>
      <scheme val="minor"/>
    </font>
    <font>
      <b/>
      <sz val="10"/>
      <color rgb="FF000000"/>
      <name val="Calibri"/>
      <family val="2"/>
      <scheme val="minor"/>
    </font>
    <font>
      <b/>
      <u/>
      <sz val="10"/>
      <color theme="10"/>
      <name val="Calibri"/>
      <family val="2"/>
      <scheme val="minor"/>
    </font>
    <font>
      <b/>
      <sz val="18"/>
      <color theme="0"/>
      <name val="Calibri Light"/>
      <family val="2"/>
      <scheme val="major"/>
    </font>
    <font>
      <b/>
      <i/>
      <sz val="10"/>
      <color theme="1"/>
      <name val="Calibri"/>
      <family val="2"/>
      <scheme val="minor"/>
    </font>
  </fonts>
  <fills count="39">
    <fill>
      <patternFill patternType="none"/>
    </fill>
    <fill>
      <patternFill patternType="gray125"/>
    </fill>
    <fill>
      <patternFill patternType="solid">
        <fgColor theme="7" tint="0.79998168889431442"/>
        <bgColor indexed="64"/>
      </patternFill>
    </fill>
    <fill>
      <patternFill patternType="solid">
        <fgColor theme="1"/>
        <bgColor indexed="64"/>
      </patternFill>
    </fill>
    <fill>
      <patternFill patternType="solid">
        <fgColor theme="9"/>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rgb="FF7030A0"/>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rgb="FFE2EFDA"/>
        <bgColor rgb="FF000000"/>
      </patternFill>
    </fill>
    <fill>
      <patternFill patternType="solid">
        <fgColor theme="2"/>
        <bgColor indexed="64"/>
      </patternFill>
    </fill>
    <fill>
      <patternFill patternType="solid">
        <fgColor theme="9" tint="0.79998168889431442"/>
        <bgColor rgb="FF000000"/>
      </patternFill>
    </fill>
    <fill>
      <patternFill patternType="solid">
        <fgColor theme="6" tint="0.79998168889431442"/>
        <bgColor indexed="64"/>
      </patternFill>
    </fill>
    <fill>
      <patternFill patternType="solid">
        <fgColor theme="9" tint="0.39997558519241921"/>
        <bgColor indexed="64"/>
      </patternFill>
    </fill>
    <fill>
      <patternFill patternType="solid">
        <fgColor theme="0" tint="-4.9989318521683403E-2"/>
        <bgColor indexed="64"/>
      </patternFill>
    </fill>
    <fill>
      <patternFill patternType="solid">
        <fgColor rgb="FFC00000"/>
        <bgColor indexed="64"/>
      </patternFill>
    </fill>
    <fill>
      <patternFill patternType="solid">
        <fgColor theme="4" tint="-0.249977111117893"/>
        <bgColor indexed="64"/>
      </patternFill>
    </fill>
    <fill>
      <patternFill patternType="solid">
        <fgColor theme="9" tint="0.59999389629810485"/>
        <bgColor indexed="64"/>
      </patternFill>
    </fill>
    <fill>
      <patternFill patternType="solid">
        <fgColor theme="8" tint="0.79998168889431442"/>
        <bgColor indexed="64"/>
      </patternFill>
    </fill>
    <fill>
      <patternFill patternType="solid">
        <fgColor rgb="FFC6EFCE"/>
      </patternFill>
    </fill>
    <fill>
      <patternFill patternType="solid">
        <fgColor rgb="FFFFC7CE"/>
      </patternFill>
    </fill>
    <fill>
      <patternFill patternType="solid">
        <fgColor theme="3"/>
        <bgColor indexed="64"/>
      </patternFill>
    </fill>
    <fill>
      <patternFill patternType="solid">
        <fgColor rgb="FF7030A0"/>
        <bgColor rgb="FF000000"/>
      </patternFill>
    </fill>
    <fill>
      <patternFill patternType="solid">
        <fgColor rgb="FFFFF2CC"/>
        <bgColor rgb="FF000000"/>
      </patternFill>
    </fill>
    <fill>
      <patternFill patternType="solid">
        <fgColor rgb="FFE7E6E6"/>
        <bgColor rgb="FF000000"/>
      </patternFill>
    </fill>
    <fill>
      <patternFill patternType="solid">
        <fgColor rgb="FF70AD47"/>
        <bgColor rgb="FF000000"/>
      </patternFill>
    </fill>
    <fill>
      <patternFill patternType="solid">
        <fgColor rgb="FFA5A5A5"/>
        <bgColor rgb="FF000000"/>
      </patternFill>
    </fill>
    <fill>
      <patternFill patternType="solid">
        <fgColor theme="0"/>
        <bgColor indexed="64"/>
      </patternFill>
    </fill>
    <fill>
      <patternFill patternType="solid">
        <fgColor rgb="FF4472C4"/>
        <bgColor rgb="FF000000"/>
      </patternFill>
    </fill>
    <fill>
      <patternFill patternType="solid">
        <fgColor rgb="FFF2F2F2"/>
        <bgColor rgb="FF000000"/>
      </patternFill>
    </fill>
    <fill>
      <patternFill patternType="solid">
        <fgColor rgb="FF000000"/>
        <bgColor rgb="FF000000"/>
      </patternFill>
    </fill>
    <fill>
      <patternFill patternType="solid">
        <fgColor rgb="FFFFFFFF"/>
        <bgColor rgb="FF000000"/>
      </patternFill>
    </fill>
    <fill>
      <patternFill patternType="solid">
        <fgColor theme="1" tint="0.499984740745262"/>
        <bgColor rgb="FF000000"/>
      </patternFill>
    </fill>
    <fill>
      <patternFill patternType="solid">
        <fgColor theme="1" tint="0.499984740745262"/>
        <bgColor indexed="64"/>
      </patternFill>
    </fill>
    <fill>
      <patternFill patternType="solid">
        <fgColor theme="6" tint="0.79998168889431442"/>
        <bgColor rgb="FF000000"/>
      </patternFill>
    </fill>
    <fill>
      <patternFill patternType="solid">
        <fgColor theme="2"/>
        <bgColor rgb="FF000000"/>
      </patternFill>
    </fill>
    <fill>
      <patternFill patternType="solid">
        <fgColor theme="0" tint="-4.9989318521683403E-2"/>
        <bgColor rgb="FF000000"/>
      </patternFill>
    </fill>
  </fills>
  <borders count="80">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top style="medium">
        <color indexed="64"/>
      </top>
      <bottom style="thin">
        <color indexed="64"/>
      </bottom>
      <diagonal/>
    </border>
    <border>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style="thin">
        <color indexed="64"/>
      </right>
      <top/>
      <bottom/>
      <diagonal/>
    </border>
    <border>
      <left style="medium">
        <color indexed="64"/>
      </left>
      <right style="medium">
        <color indexed="64"/>
      </right>
      <top/>
      <bottom style="thin">
        <color indexed="64"/>
      </bottom>
      <diagonal/>
    </border>
    <border>
      <left style="thin">
        <color indexed="64"/>
      </left>
      <right/>
      <top style="medium">
        <color indexed="64"/>
      </top>
      <bottom/>
      <diagonal/>
    </border>
    <border>
      <left style="medium">
        <color indexed="64"/>
      </left>
      <right style="medium">
        <color indexed="64"/>
      </right>
      <top style="thin">
        <color indexed="64"/>
      </top>
      <bottom/>
      <diagonal/>
    </border>
    <border>
      <left style="thin">
        <color indexed="64"/>
      </left>
      <right/>
      <top style="medium">
        <color indexed="64"/>
      </top>
      <bottom style="medium">
        <color indexed="64"/>
      </bottom>
      <diagonal/>
    </border>
    <border>
      <left style="thin">
        <color indexed="64"/>
      </left>
      <right/>
      <top/>
      <bottom style="thin">
        <color indexed="64"/>
      </bottom>
      <diagonal/>
    </border>
  </borders>
  <cellStyleXfs count="7">
    <xf numFmtId="0" fontId="0"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9" fillId="0" borderId="0" applyNumberFormat="0" applyFill="0" applyBorder="0" applyAlignment="0" applyProtection="0"/>
    <xf numFmtId="0" fontId="21" fillId="21" borderId="0" applyNumberFormat="0" applyBorder="0" applyAlignment="0" applyProtection="0"/>
    <xf numFmtId="0" fontId="22" fillId="22" borderId="0" applyNumberFormat="0" applyBorder="0" applyAlignment="0" applyProtection="0"/>
  </cellStyleXfs>
  <cellXfs count="1732">
    <xf numFmtId="0" fontId="0" fillId="0" borderId="0" xfId="0"/>
    <xf numFmtId="0" fontId="0" fillId="3" borderId="0" xfId="0" applyFill="1"/>
    <xf numFmtId="0" fontId="0" fillId="0" borderId="8" xfId="0" applyBorder="1" applyAlignment="1">
      <alignment vertical="center" wrapText="1"/>
    </xf>
    <xf numFmtId="0" fontId="7" fillId="0" borderId="0" xfId="0" applyFont="1"/>
    <xf numFmtId="0" fontId="0" fillId="0" borderId="14" xfId="0" applyBorder="1"/>
    <xf numFmtId="0" fontId="0" fillId="0" borderId="12" xfId="0" applyBorder="1" applyAlignment="1">
      <alignment vertical="center" wrapText="1"/>
    </xf>
    <xf numFmtId="0" fontId="0" fillId="0" borderId="13" xfId="0" applyBorder="1" applyAlignment="1">
      <alignment vertical="center" wrapText="1"/>
    </xf>
    <xf numFmtId="0" fontId="0" fillId="0" borderId="14" xfId="0" applyBorder="1" applyAlignment="1">
      <alignment vertical="center" wrapText="1"/>
    </xf>
    <xf numFmtId="0" fontId="2" fillId="0" borderId="0" xfId="0" applyFont="1" applyAlignment="1">
      <alignment horizontal="center" vertical="center" wrapText="1"/>
    </xf>
    <xf numFmtId="0" fontId="3" fillId="0" borderId="0" xfId="0" applyFont="1"/>
    <xf numFmtId="0" fontId="0" fillId="0" borderId="3" xfId="0" applyBorder="1"/>
    <xf numFmtId="0" fontId="0" fillId="0" borderId="5" xfId="0" applyBorder="1"/>
    <xf numFmtId="9" fontId="0" fillId="2" borderId="13" xfId="2" applyFont="1" applyFill="1" applyBorder="1"/>
    <xf numFmtId="9" fontId="0" fillId="2" borderId="4" xfId="2" applyFont="1" applyFill="1" applyBorder="1"/>
    <xf numFmtId="9" fontId="0" fillId="2" borderId="6" xfId="2" applyFont="1" applyFill="1" applyBorder="1"/>
    <xf numFmtId="9" fontId="0" fillId="2" borderId="12" xfId="0" applyNumberFormat="1" applyFill="1" applyBorder="1"/>
    <xf numFmtId="9" fontId="0" fillId="2" borderId="14" xfId="0" applyNumberFormat="1" applyFill="1" applyBorder="1"/>
    <xf numFmtId="164" fontId="0" fillId="2" borderId="12" xfId="1" applyNumberFormat="1" applyFont="1" applyFill="1" applyBorder="1"/>
    <xf numFmtId="164" fontId="0" fillId="2" borderId="13" xfId="1" applyNumberFormat="1" applyFont="1" applyFill="1" applyBorder="1"/>
    <xf numFmtId="164" fontId="0" fillId="2" borderId="14" xfId="1" applyNumberFormat="1" applyFont="1" applyFill="1" applyBorder="1"/>
    <xf numFmtId="0" fontId="0" fillId="0" borderId="0" xfId="0" applyAlignment="1">
      <alignment vertical="center" wrapText="1"/>
    </xf>
    <xf numFmtId="0" fontId="0" fillId="0" borderId="1" xfId="0" applyBorder="1" applyAlignment="1">
      <alignment vertical="center"/>
    </xf>
    <xf numFmtId="0" fontId="0" fillId="0" borderId="0" xfId="0" applyAlignment="1">
      <alignment vertical="center"/>
    </xf>
    <xf numFmtId="0" fontId="0" fillId="0" borderId="12" xfId="0" applyBorder="1" applyAlignment="1">
      <alignment vertical="center"/>
    </xf>
    <xf numFmtId="0" fontId="0" fillId="0" borderId="14" xfId="0" applyBorder="1" applyAlignment="1">
      <alignment vertical="center"/>
    </xf>
    <xf numFmtId="0" fontId="0" fillId="0" borderId="13" xfId="0" applyBorder="1" applyAlignment="1">
      <alignment vertical="center"/>
    </xf>
    <xf numFmtId="0" fontId="2" fillId="3" borderId="16" xfId="0" applyFont="1" applyFill="1" applyBorder="1" applyAlignment="1">
      <alignment horizontal="center" vertical="center" wrapText="1"/>
    </xf>
    <xf numFmtId="0" fontId="2" fillId="5" borderId="16" xfId="0" applyFont="1" applyFill="1" applyBorder="1" applyAlignment="1">
      <alignment horizontal="center" vertical="center" wrapText="1"/>
    </xf>
    <xf numFmtId="0" fontId="0" fillId="0" borderId="0" xfId="0" applyAlignment="1">
      <alignment horizontal="right" vertical="center"/>
    </xf>
    <xf numFmtId="164" fontId="0" fillId="10" borderId="2" xfId="0" applyNumberFormat="1" applyFill="1" applyBorder="1" applyAlignment="1">
      <alignment horizontal="right" vertical="center"/>
    </xf>
    <xf numFmtId="0" fontId="9" fillId="0" borderId="0" xfId="0" applyFont="1" applyAlignment="1">
      <alignment horizontal="right" vertical="center"/>
    </xf>
    <xf numFmtId="164" fontId="0" fillId="2" borderId="4" xfId="1" applyNumberFormat="1" applyFont="1" applyFill="1" applyBorder="1" applyAlignment="1">
      <alignment horizontal="right" vertical="center"/>
    </xf>
    <xf numFmtId="164" fontId="0" fillId="2" borderId="11" xfId="1" applyNumberFormat="1" applyFont="1" applyFill="1" applyBorder="1" applyAlignment="1">
      <alignment horizontal="right" vertical="center"/>
    </xf>
    <xf numFmtId="164" fontId="0" fillId="0" borderId="0" xfId="1" applyNumberFormat="1" applyFont="1" applyFill="1" applyBorder="1" applyAlignment="1">
      <alignment horizontal="right" vertical="center"/>
    </xf>
    <xf numFmtId="9" fontId="0" fillId="2" borderId="6" xfId="2" applyFont="1" applyFill="1" applyBorder="1" applyAlignment="1">
      <alignment horizontal="right" vertical="center"/>
    </xf>
    <xf numFmtId="0" fontId="0" fillId="0" borderId="5" xfId="0" applyBorder="1" applyAlignment="1">
      <alignment wrapText="1"/>
    </xf>
    <xf numFmtId="0" fontId="0" fillId="0" borderId="3" xfId="0" applyBorder="1" applyAlignment="1">
      <alignment vertical="center" wrapText="1"/>
    </xf>
    <xf numFmtId="0" fontId="0" fillId="0" borderId="3" xfId="0" applyBorder="1" applyAlignment="1">
      <alignment vertical="center"/>
    </xf>
    <xf numFmtId="0" fontId="9" fillId="11" borderId="12" xfId="0" applyFont="1" applyFill="1" applyBorder="1" applyAlignment="1">
      <alignment horizontal="right" vertical="center"/>
    </xf>
    <xf numFmtId="164" fontId="0" fillId="10" borderId="13" xfId="0" applyNumberFormat="1" applyFill="1" applyBorder="1" applyAlignment="1">
      <alignment horizontal="right" vertical="center"/>
    </xf>
    <xf numFmtId="164" fontId="0" fillId="10" borderId="6" xfId="1" applyNumberFormat="1" applyFont="1" applyFill="1" applyBorder="1" applyAlignment="1">
      <alignment horizontal="right" vertical="center"/>
    </xf>
    <xf numFmtId="164" fontId="0" fillId="10" borderId="11" xfId="1" applyNumberFormat="1" applyFont="1" applyFill="1" applyBorder="1" applyAlignment="1">
      <alignment horizontal="right" vertical="center"/>
    </xf>
    <xf numFmtId="9" fontId="0" fillId="2" borderId="14" xfId="2" applyFont="1" applyFill="1" applyBorder="1"/>
    <xf numFmtId="9" fontId="0" fillId="2" borderId="6" xfId="0" applyNumberFormat="1" applyFill="1" applyBorder="1" applyAlignment="1">
      <alignment horizontal="right" vertical="center"/>
    </xf>
    <xf numFmtId="9" fontId="0" fillId="2" borderId="11" xfId="2" applyFont="1" applyFill="1" applyBorder="1" applyAlignment="1">
      <alignment horizontal="right" vertical="center"/>
    </xf>
    <xf numFmtId="164" fontId="0" fillId="10" borderId="4" xfId="1" applyNumberFormat="1" applyFont="1" applyFill="1" applyBorder="1" applyAlignment="1">
      <alignment horizontal="right" vertical="center"/>
    </xf>
    <xf numFmtId="164" fontId="0" fillId="10" borderId="2" xfId="1" applyNumberFormat="1" applyFont="1" applyFill="1" applyBorder="1" applyAlignment="1">
      <alignment horizontal="right" vertical="center"/>
    </xf>
    <xf numFmtId="0" fontId="0" fillId="0" borderId="8" xfId="0" applyBorder="1" applyAlignment="1">
      <alignment vertical="center"/>
    </xf>
    <xf numFmtId="0" fontId="0" fillId="0" borderId="9" xfId="0" applyBorder="1" applyAlignment="1">
      <alignment vertical="center"/>
    </xf>
    <xf numFmtId="0" fontId="0" fillId="10" borderId="14" xfId="0" applyFill="1" applyBorder="1" applyAlignment="1">
      <alignment horizontal="right" vertical="center"/>
    </xf>
    <xf numFmtId="164" fontId="0" fillId="10" borderId="14" xfId="1" applyNumberFormat="1" applyFont="1" applyFill="1" applyBorder="1" applyAlignment="1">
      <alignment horizontal="right" vertical="center"/>
    </xf>
    <xf numFmtId="164" fontId="0" fillId="10" borderId="14" xfId="0" applyNumberFormat="1" applyFill="1" applyBorder="1" applyAlignment="1">
      <alignment horizontal="right" vertical="center"/>
    </xf>
    <xf numFmtId="165" fontId="0" fillId="2" borderId="2" xfId="3" applyNumberFormat="1" applyFont="1" applyFill="1" applyBorder="1" applyAlignment="1">
      <alignment horizontal="right" vertical="center"/>
    </xf>
    <xf numFmtId="165" fontId="0" fillId="10" borderId="11" xfId="3" applyNumberFormat="1" applyFont="1" applyFill="1" applyBorder="1" applyAlignment="1">
      <alignment horizontal="right" vertical="center"/>
    </xf>
    <xf numFmtId="165" fontId="0" fillId="10" borderId="4" xfId="3" applyNumberFormat="1" applyFont="1" applyFill="1" applyBorder="1" applyAlignment="1">
      <alignment horizontal="right" vertical="center"/>
    </xf>
    <xf numFmtId="165" fontId="0" fillId="10" borderId="6" xfId="3" applyNumberFormat="1" applyFont="1" applyFill="1" applyBorder="1" applyAlignment="1">
      <alignment horizontal="right" vertical="center"/>
    </xf>
    <xf numFmtId="164" fontId="0" fillId="0" borderId="0" xfId="0" applyNumberFormat="1" applyAlignment="1">
      <alignment horizontal="right" vertical="center"/>
    </xf>
    <xf numFmtId="0" fontId="6" fillId="0" borderId="13" xfId="0" applyFont="1" applyBorder="1" applyAlignment="1">
      <alignment vertical="center"/>
    </xf>
    <xf numFmtId="0" fontId="0" fillId="0" borderId="12" xfId="0" applyBorder="1" applyAlignment="1">
      <alignment horizontal="left" vertical="center"/>
    </xf>
    <xf numFmtId="0" fontId="0" fillId="12" borderId="12" xfId="0" applyFill="1" applyBorder="1" applyAlignment="1">
      <alignment horizontal="center" vertical="center"/>
    </xf>
    <xf numFmtId="0" fontId="0" fillId="0" borderId="5" xfId="0" applyBorder="1" applyAlignment="1">
      <alignment vertical="center" wrapText="1"/>
    </xf>
    <xf numFmtId="164" fontId="9" fillId="11" borderId="13" xfId="0" applyNumberFormat="1" applyFont="1" applyFill="1" applyBorder="1" applyAlignment="1">
      <alignment horizontal="right" vertical="center"/>
    </xf>
    <xf numFmtId="164" fontId="9" fillId="11" borderId="13" xfId="1" applyNumberFormat="1" applyFont="1" applyFill="1" applyBorder="1" applyAlignment="1">
      <alignment horizontal="right" vertical="center"/>
    </xf>
    <xf numFmtId="0" fontId="7" fillId="0" borderId="0" xfId="0" applyFont="1" applyAlignment="1">
      <alignment vertical="center"/>
    </xf>
    <xf numFmtId="9" fontId="0" fillId="12" borderId="4" xfId="2" applyFont="1" applyFill="1" applyBorder="1" applyAlignment="1">
      <alignment horizontal="center" vertical="center"/>
    </xf>
    <xf numFmtId="164" fontId="0" fillId="10" borderId="1" xfId="0" applyNumberFormat="1" applyFill="1" applyBorder="1"/>
    <xf numFmtId="0" fontId="0" fillId="0" borderId="10" xfId="0" applyBorder="1" applyAlignment="1">
      <alignment vertical="center"/>
    </xf>
    <xf numFmtId="164" fontId="0" fillId="9" borderId="12" xfId="1" applyNumberFormat="1" applyFont="1" applyFill="1" applyBorder="1"/>
    <xf numFmtId="164" fontId="0" fillId="10" borderId="6" xfId="1" applyNumberFormat="1" applyFont="1" applyFill="1" applyBorder="1"/>
    <xf numFmtId="0" fontId="0" fillId="0" borderId="13" xfId="0" applyBorder="1" applyAlignment="1">
      <alignment wrapText="1"/>
    </xf>
    <xf numFmtId="164" fontId="0" fillId="10" borderId="4" xfId="1" applyNumberFormat="1" applyFont="1" applyFill="1" applyBorder="1"/>
    <xf numFmtId="0" fontId="0" fillId="0" borderId="0" xfId="0" applyAlignment="1">
      <alignment wrapText="1"/>
    </xf>
    <xf numFmtId="0" fontId="0" fillId="0" borderId="9" xfId="0" applyBorder="1" applyAlignment="1">
      <alignment wrapText="1"/>
    </xf>
    <xf numFmtId="164" fontId="0" fillId="0" borderId="0" xfId="1" applyNumberFormat="1" applyFont="1" applyBorder="1"/>
    <xf numFmtId="0" fontId="6" fillId="0" borderId="0" xfId="0" applyFont="1" applyAlignment="1">
      <alignment vertical="center"/>
    </xf>
    <xf numFmtId="0" fontId="0" fillId="0" borderId="0" xfId="0" applyAlignment="1">
      <alignment horizontal="left" vertical="center"/>
    </xf>
    <xf numFmtId="0" fontId="0" fillId="0" borderId="8" xfId="0" applyBorder="1" applyAlignment="1">
      <alignment horizontal="left" vertical="center"/>
    </xf>
    <xf numFmtId="0" fontId="0" fillId="12" borderId="14" xfId="0" applyFill="1" applyBorder="1" applyAlignment="1">
      <alignment horizontal="center" vertical="center"/>
    </xf>
    <xf numFmtId="0" fontId="0" fillId="0" borderId="2" xfId="0" applyBorder="1"/>
    <xf numFmtId="0" fontId="0" fillId="0" borderId="4" xfId="0" applyBorder="1"/>
    <xf numFmtId="164" fontId="0" fillId="9" borderId="9" xfId="1" applyNumberFormat="1" applyFont="1" applyFill="1" applyBorder="1"/>
    <xf numFmtId="0" fontId="0" fillId="0" borderId="6" xfId="0" applyBorder="1"/>
    <xf numFmtId="164" fontId="0" fillId="9" borderId="6" xfId="1" applyNumberFormat="1" applyFont="1" applyFill="1" applyBorder="1"/>
    <xf numFmtId="164" fontId="0" fillId="10" borderId="13" xfId="0" applyNumberFormat="1" applyFill="1" applyBorder="1" applyAlignment="1">
      <alignment horizontal="center" vertical="center"/>
    </xf>
    <xf numFmtId="164" fontId="0" fillId="2" borderId="8" xfId="1" applyNumberFormat="1" applyFont="1" applyFill="1" applyBorder="1"/>
    <xf numFmtId="164" fontId="0" fillId="2" borderId="11" xfId="1" applyNumberFormat="1" applyFont="1" applyFill="1" applyBorder="1"/>
    <xf numFmtId="164" fontId="0" fillId="2" borderId="9" xfId="1" applyNumberFormat="1" applyFont="1" applyFill="1" applyBorder="1"/>
    <xf numFmtId="164" fontId="0" fillId="2" borderId="6" xfId="1" applyNumberFormat="1" applyFont="1" applyFill="1" applyBorder="1"/>
    <xf numFmtId="0" fontId="3" fillId="14" borderId="3" xfId="0" applyFont="1" applyFill="1" applyBorder="1"/>
    <xf numFmtId="0" fontId="0" fillId="0" borderId="8" xfId="0" applyBorder="1"/>
    <xf numFmtId="0" fontId="3" fillId="0" borderId="5" xfId="0" applyFont="1" applyBorder="1"/>
    <xf numFmtId="164" fontId="0" fillId="9" borderId="9" xfId="0" applyNumberFormat="1" applyFill="1" applyBorder="1"/>
    <xf numFmtId="164" fontId="0" fillId="9" borderId="6" xfId="0" applyNumberFormat="1" applyFill="1" applyBorder="1"/>
    <xf numFmtId="0" fontId="0" fillId="0" borderId="16" xfId="0" applyBorder="1"/>
    <xf numFmtId="164" fontId="0" fillId="10" borderId="7" xfId="0" applyNumberFormat="1" applyFill="1" applyBorder="1"/>
    <xf numFmtId="164" fontId="0" fillId="10" borderId="2" xfId="0" applyNumberFormat="1" applyFill="1" applyBorder="1"/>
    <xf numFmtId="0" fontId="0" fillId="14" borderId="4" xfId="0" applyFill="1" applyBorder="1"/>
    <xf numFmtId="0" fontId="0" fillId="0" borderId="9" xfId="0" applyBorder="1"/>
    <xf numFmtId="164" fontId="0" fillId="0" borderId="0" xfId="1" applyNumberFormat="1" applyFont="1"/>
    <xf numFmtId="164" fontId="0" fillId="0" borderId="0" xfId="1" applyNumberFormat="1" applyFont="1" applyFill="1" applyBorder="1"/>
    <xf numFmtId="0" fontId="0" fillId="0" borderId="10" xfId="0" applyBorder="1"/>
    <xf numFmtId="0" fontId="0" fillId="0" borderId="4" xfId="0" applyBorder="1" applyAlignment="1">
      <alignment vertical="center"/>
    </xf>
    <xf numFmtId="0" fontId="0" fillId="0" borderId="11" xfId="0" applyBorder="1" applyAlignment="1">
      <alignment vertical="center"/>
    </xf>
    <xf numFmtId="0" fontId="0" fillId="0" borderId="6" xfId="0" applyBorder="1" applyAlignment="1">
      <alignment vertical="center"/>
    </xf>
    <xf numFmtId="0" fontId="0" fillId="14" borderId="11" xfId="0" applyFill="1" applyBorder="1"/>
    <xf numFmtId="164" fontId="0" fillId="9" borderId="11" xfId="1" applyNumberFormat="1" applyFont="1" applyFill="1" applyBorder="1"/>
    <xf numFmtId="164" fontId="0" fillId="2" borderId="3" xfId="1" applyNumberFormat="1" applyFont="1" applyFill="1" applyBorder="1"/>
    <xf numFmtId="0" fontId="2" fillId="8" borderId="13" xfId="0" applyFont="1" applyFill="1" applyBorder="1" applyAlignment="1">
      <alignment horizontal="center" vertical="center" wrapText="1"/>
    </xf>
    <xf numFmtId="0" fontId="0" fillId="0" borderId="12" xfId="0" applyBorder="1"/>
    <xf numFmtId="0" fontId="0" fillId="0" borderId="13" xfId="0" applyBorder="1"/>
    <xf numFmtId="0" fontId="2" fillId="3" borderId="12" xfId="0" applyFont="1" applyFill="1" applyBorder="1" applyAlignment="1">
      <alignment horizontal="center"/>
    </xf>
    <xf numFmtId="0" fontId="0" fillId="0" borderId="11" xfId="0" applyBorder="1"/>
    <xf numFmtId="164" fontId="0" fillId="0" borderId="0" xfId="0" applyNumberFormat="1"/>
    <xf numFmtId="165" fontId="0" fillId="10" borderId="14" xfId="3" applyNumberFormat="1" applyFont="1" applyFill="1" applyBorder="1" applyAlignment="1">
      <alignment horizontal="right" vertical="center"/>
    </xf>
    <xf numFmtId="9" fontId="0" fillId="0" borderId="0" xfId="2" applyFont="1" applyFill="1" applyBorder="1"/>
    <xf numFmtId="9" fontId="0" fillId="0" borderId="12" xfId="0" applyNumberFormat="1" applyBorder="1" applyAlignment="1">
      <alignment vertical="center" wrapText="1"/>
    </xf>
    <xf numFmtId="9" fontId="0" fillId="0" borderId="14" xfId="0" applyNumberFormat="1" applyBorder="1" applyAlignment="1">
      <alignment vertical="center" wrapText="1"/>
    </xf>
    <xf numFmtId="9" fontId="0" fillId="2" borderId="11" xfId="2" applyFont="1" applyFill="1" applyBorder="1"/>
    <xf numFmtId="9" fontId="0" fillId="0" borderId="14" xfId="0" applyNumberFormat="1" applyBorder="1"/>
    <xf numFmtId="9" fontId="0" fillId="0" borderId="13" xfId="0" applyNumberFormat="1" applyBorder="1"/>
    <xf numFmtId="9" fontId="0" fillId="2" borderId="13" xfId="0" applyNumberFormat="1" applyFill="1" applyBorder="1"/>
    <xf numFmtId="0" fontId="4" fillId="0" borderId="0" xfId="0" applyFont="1" applyAlignment="1">
      <alignment horizontal="center" vertical="center"/>
    </xf>
    <xf numFmtId="9" fontId="0" fillId="0" borderId="0" xfId="0" applyNumberFormat="1" applyAlignment="1">
      <alignment horizontal="right" vertical="center"/>
    </xf>
    <xf numFmtId="0" fontId="0" fillId="0" borderId="7" xfId="0" applyBorder="1"/>
    <xf numFmtId="0" fontId="3" fillId="0" borderId="2" xfId="0" applyFont="1" applyBorder="1"/>
    <xf numFmtId="0" fontId="3" fillId="0" borderId="1" xfId="0" applyFont="1" applyBorder="1"/>
    <xf numFmtId="0" fontId="0" fillId="0" borderId="1" xfId="0" applyBorder="1"/>
    <xf numFmtId="0" fontId="0" fillId="0" borderId="16" xfId="0" applyBorder="1" applyAlignment="1">
      <alignment vertical="center"/>
    </xf>
    <xf numFmtId="0" fontId="0" fillId="0" borderId="7" xfId="0" applyBorder="1" applyAlignment="1">
      <alignment vertical="center"/>
    </xf>
    <xf numFmtId="0" fontId="3" fillId="0" borderId="1" xfId="0" applyFont="1" applyBorder="1" applyAlignment="1">
      <alignment horizontal="left" vertical="center"/>
    </xf>
    <xf numFmtId="164" fontId="0" fillId="2" borderId="12" xfId="1" applyNumberFormat="1" applyFont="1" applyFill="1" applyBorder="1" applyAlignment="1">
      <alignment horizontal="right" vertical="center"/>
    </xf>
    <xf numFmtId="164" fontId="0" fillId="2" borderId="14" xfId="1" applyNumberFormat="1" applyFont="1" applyFill="1" applyBorder="1" applyAlignment="1">
      <alignment horizontal="right" vertical="center"/>
    </xf>
    <xf numFmtId="44" fontId="0" fillId="12" borderId="12" xfId="1" applyFont="1" applyFill="1" applyBorder="1"/>
    <xf numFmtId="44" fontId="0" fillId="12" borderId="4" xfId="1" applyFont="1" applyFill="1" applyBorder="1"/>
    <xf numFmtId="44" fontId="0" fillId="2" borderId="14" xfId="1" applyFont="1" applyFill="1" applyBorder="1"/>
    <xf numFmtId="44" fontId="0" fillId="2" borderId="11" xfId="1" applyFont="1" applyFill="1" applyBorder="1"/>
    <xf numFmtId="44" fontId="0" fillId="2" borderId="13" xfId="1" applyFont="1" applyFill="1" applyBorder="1"/>
    <xf numFmtId="44" fontId="0" fillId="2" borderId="6" xfId="1" applyFont="1" applyFill="1" applyBorder="1"/>
    <xf numFmtId="44" fontId="0" fillId="2" borderId="12" xfId="1" applyFont="1" applyFill="1" applyBorder="1"/>
    <xf numFmtId="9" fontId="0" fillId="0" borderId="0" xfId="0" applyNumberFormat="1"/>
    <xf numFmtId="44" fontId="0" fillId="0" borderId="0" xfId="1" applyFont="1" applyFill="1" applyBorder="1"/>
    <xf numFmtId="0" fontId="2" fillId="0" borderId="3" xfId="0" applyFont="1" applyBorder="1" applyAlignment="1">
      <alignment horizontal="center" vertical="center" wrapText="1"/>
    </xf>
    <xf numFmtId="9" fontId="0" fillId="0" borderId="8" xfId="0" applyNumberFormat="1" applyBorder="1"/>
    <xf numFmtId="9" fontId="3" fillId="0" borderId="1" xfId="0" applyNumberFormat="1" applyFont="1" applyBorder="1"/>
    <xf numFmtId="44" fontId="3" fillId="0" borderId="1" xfId="1" applyFont="1" applyFill="1" applyBorder="1"/>
    <xf numFmtId="0" fontId="2" fillId="8" borderId="1" xfId="0" applyFont="1" applyFill="1" applyBorder="1" applyAlignment="1">
      <alignment horizontal="center"/>
    </xf>
    <xf numFmtId="0" fontId="0" fillId="0" borderId="5" xfId="0" applyBorder="1" applyAlignment="1">
      <alignment vertical="center"/>
    </xf>
    <xf numFmtId="165" fontId="0" fillId="10" borderId="12" xfId="0" applyNumberFormat="1" applyFill="1" applyBorder="1" applyAlignment="1">
      <alignment horizontal="right" vertical="center"/>
    </xf>
    <xf numFmtId="44" fontId="0" fillId="10" borderId="14" xfId="1" applyFont="1" applyFill="1" applyBorder="1" applyAlignment="1">
      <alignment horizontal="right" vertical="center"/>
    </xf>
    <xf numFmtId="165" fontId="0" fillId="10" borderId="14" xfId="0" applyNumberFormat="1" applyFill="1" applyBorder="1" applyAlignment="1">
      <alignment horizontal="right" vertical="center"/>
    </xf>
    <xf numFmtId="165" fontId="9" fillId="11" borderId="14" xfId="0" applyNumberFormat="1" applyFont="1" applyFill="1" applyBorder="1" applyAlignment="1">
      <alignment horizontal="right" vertical="center"/>
    </xf>
    <xf numFmtId="0" fontId="0" fillId="2" borderId="6" xfId="0" applyFill="1" applyBorder="1"/>
    <xf numFmtId="0" fontId="3" fillId="0" borderId="3" xfId="0" applyFont="1" applyBorder="1"/>
    <xf numFmtId="0" fontId="3" fillId="0" borderId="10" xfId="0" applyFont="1" applyBorder="1"/>
    <xf numFmtId="164" fontId="3" fillId="0" borderId="8" xfId="1" applyNumberFormat="1" applyFont="1" applyBorder="1" applyAlignment="1">
      <alignment wrapText="1"/>
    </xf>
    <xf numFmtId="164" fontId="0" fillId="9" borderId="0" xfId="1" applyNumberFormat="1" applyFont="1" applyFill="1" applyBorder="1"/>
    <xf numFmtId="164" fontId="3" fillId="0" borderId="4" xfId="1" applyNumberFormat="1" applyFont="1" applyBorder="1" applyAlignment="1">
      <alignment wrapText="1"/>
    </xf>
    <xf numFmtId="164" fontId="3" fillId="0" borderId="4" xfId="1" applyNumberFormat="1" applyFont="1" applyFill="1" applyBorder="1" applyAlignment="1">
      <alignment wrapText="1"/>
    </xf>
    <xf numFmtId="0" fontId="16" fillId="0" borderId="0" xfId="0" applyFont="1"/>
    <xf numFmtId="0" fontId="3" fillId="0" borderId="4" xfId="0" applyFont="1" applyBorder="1"/>
    <xf numFmtId="0" fontId="3" fillId="0" borderId="8" xfId="0" applyFont="1" applyBorder="1"/>
    <xf numFmtId="0" fontId="3" fillId="0" borderId="25" xfId="0" applyFont="1" applyBorder="1"/>
    <xf numFmtId="0" fontId="2" fillId="5" borderId="12" xfId="0" applyFont="1" applyFill="1" applyBorder="1" applyAlignment="1">
      <alignment vertical="center" wrapText="1"/>
    </xf>
    <xf numFmtId="0" fontId="2" fillId="5" borderId="14" xfId="0" applyFont="1" applyFill="1" applyBorder="1" applyAlignment="1">
      <alignment vertical="center" wrapText="1"/>
    </xf>
    <xf numFmtId="0" fontId="2" fillId="5" borderId="13" xfId="0" applyFont="1" applyFill="1" applyBorder="1" applyAlignment="1">
      <alignment vertical="center" wrapText="1"/>
    </xf>
    <xf numFmtId="9" fontId="0" fillId="2" borderId="13" xfId="2" applyFont="1" applyFill="1" applyBorder="1" applyAlignment="1">
      <alignment horizontal="right" vertical="center"/>
    </xf>
    <xf numFmtId="0" fontId="3" fillId="0" borderId="26" xfId="0" applyFont="1" applyBorder="1"/>
    <xf numFmtId="16" fontId="0" fillId="0" borderId="14" xfId="0" applyNumberFormat="1" applyBorder="1" applyAlignment="1">
      <alignment vertical="center" wrapText="1"/>
    </xf>
    <xf numFmtId="0" fontId="0" fillId="2" borderId="1" xfId="0" applyFill="1" applyBorder="1"/>
    <xf numFmtId="164" fontId="0" fillId="10" borderId="11" xfId="1" applyNumberFormat="1" applyFont="1" applyFill="1" applyBorder="1"/>
    <xf numFmtId="164" fontId="0" fillId="10" borderId="12" xfId="0" applyNumberFormat="1" applyFill="1" applyBorder="1"/>
    <xf numFmtId="164" fontId="0" fillId="10" borderId="13" xfId="1" applyNumberFormat="1" applyFont="1" applyFill="1" applyBorder="1"/>
    <xf numFmtId="0" fontId="0" fillId="0" borderId="10" xfId="0" quotePrefix="1" applyBorder="1" applyAlignment="1">
      <alignment vertical="center"/>
    </xf>
    <xf numFmtId="165" fontId="0" fillId="10" borderId="12" xfId="3" applyNumberFormat="1" applyFont="1" applyFill="1" applyBorder="1" applyAlignment="1">
      <alignment horizontal="right" vertical="center"/>
    </xf>
    <xf numFmtId="164" fontId="0" fillId="10" borderId="13" xfId="1" applyNumberFormat="1" applyFont="1" applyFill="1" applyBorder="1" applyAlignment="1">
      <alignment horizontal="right" vertical="center"/>
    </xf>
    <xf numFmtId="164" fontId="0" fillId="10" borderId="1" xfId="0" applyNumberFormat="1" applyFill="1" applyBorder="1" applyAlignment="1">
      <alignment horizontal="right" vertical="center"/>
    </xf>
    <xf numFmtId="0" fontId="0" fillId="0" borderId="0" xfId="0" applyAlignment="1">
      <alignment horizontal="center" vertical="center"/>
    </xf>
    <xf numFmtId="165" fontId="0" fillId="0" borderId="0" xfId="3" applyNumberFormat="1" applyFont="1" applyFill="1" applyBorder="1" applyAlignment="1">
      <alignment horizontal="right" vertical="center"/>
    </xf>
    <xf numFmtId="164" fontId="9" fillId="0" borderId="0" xfId="1" applyNumberFormat="1" applyFont="1" applyFill="1" applyBorder="1" applyAlignment="1">
      <alignment horizontal="right" vertical="center"/>
    </xf>
    <xf numFmtId="9" fontId="0" fillId="0" borderId="0" xfId="2" applyFont="1" applyFill="1" applyBorder="1" applyAlignment="1">
      <alignment horizontal="center" vertical="center"/>
    </xf>
    <xf numFmtId="165" fontId="0" fillId="0" borderId="0" xfId="0" applyNumberFormat="1" applyAlignment="1">
      <alignment horizontal="right" vertical="center"/>
    </xf>
    <xf numFmtId="44" fontId="0" fillId="0" borderId="0" xfId="1" applyFont="1" applyFill="1" applyBorder="1" applyAlignment="1">
      <alignment horizontal="right" vertical="center"/>
    </xf>
    <xf numFmtId="165" fontId="9" fillId="0" borderId="0" xfId="0" applyNumberFormat="1" applyFont="1" applyAlignment="1">
      <alignment horizontal="right" vertical="center"/>
    </xf>
    <xf numFmtId="164" fontId="9" fillId="0" borderId="0" xfId="0" applyNumberFormat="1" applyFont="1" applyAlignment="1">
      <alignment horizontal="right" vertical="center"/>
    </xf>
    <xf numFmtId="164" fontId="0" fillId="10" borderId="14" xfId="0" applyNumberFormat="1" applyFill="1" applyBorder="1"/>
    <xf numFmtId="0" fontId="6" fillId="0" borderId="37" xfId="0" applyFont="1" applyBorder="1" applyAlignment="1">
      <alignment vertical="center"/>
    </xf>
    <xf numFmtId="164" fontId="0" fillId="10" borderId="14" xfId="0" applyNumberFormat="1" applyFill="1" applyBorder="1" applyAlignment="1">
      <alignment horizontal="center" vertical="center"/>
    </xf>
    <xf numFmtId="165" fontId="0" fillId="10" borderId="14" xfId="3" applyNumberFormat="1" applyFont="1" applyFill="1" applyBorder="1" applyAlignment="1">
      <alignment horizontal="center" vertical="center"/>
    </xf>
    <xf numFmtId="0" fontId="9" fillId="11" borderId="12" xfId="0" applyFont="1" applyFill="1" applyBorder="1" applyAlignment="1">
      <alignment horizontal="center" vertical="center"/>
    </xf>
    <xf numFmtId="164" fontId="9" fillId="11" borderId="13" xfId="1" applyNumberFormat="1" applyFont="1" applyFill="1" applyBorder="1" applyAlignment="1">
      <alignment horizontal="center" vertical="center"/>
    </xf>
    <xf numFmtId="164" fontId="0" fillId="10" borderId="2" xfId="0" applyNumberFormat="1" applyFill="1" applyBorder="1" applyAlignment="1">
      <alignment horizontal="center" vertical="center"/>
    </xf>
    <xf numFmtId="164" fontId="0" fillId="10" borderId="11" xfId="0" applyNumberFormat="1" applyFill="1" applyBorder="1" applyAlignment="1">
      <alignment horizontal="center" vertical="center"/>
    </xf>
    <xf numFmtId="0" fontId="0" fillId="10" borderId="6" xfId="0" applyFill="1" applyBorder="1" applyAlignment="1">
      <alignment horizontal="center" vertical="center"/>
    </xf>
    <xf numFmtId="0" fontId="0" fillId="0" borderId="2" xfId="0" applyBorder="1" applyAlignment="1">
      <alignment vertical="center"/>
    </xf>
    <xf numFmtId="0" fontId="6" fillId="0" borderId="9" xfId="0" applyFont="1" applyBorder="1" applyAlignment="1">
      <alignment vertical="center"/>
    </xf>
    <xf numFmtId="0" fontId="6" fillId="0" borderId="38" xfId="0" applyFont="1" applyBorder="1" applyAlignment="1">
      <alignment vertical="center"/>
    </xf>
    <xf numFmtId="9" fontId="0" fillId="3" borderId="11" xfId="2" applyFont="1" applyFill="1" applyBorder="1" applyAlignment="1">
      <alignment horizontal="center" vertical="center"/>
    </xf>
    <xf numFmtId="9" fontId="0" fillId="12" borderId="12" xfId="2" applyFont="1" applyFill="1" applyBorder="1" applyAlignment="1">
      <alignment horizontal="center" vertical="center"/>
    </xf>
    <xf numFmtId="164" fontId="0" fillId="12" borderId="14" xfId="1" applyNumberFormat="1" applyFont="1" applyFill="1" applyBorder="1" applyAlignment="1">
      <alignment horizontal="center" vertical="center"/>
    </xf>
    <xf numFmtId="164" fontId="0" fillId="12" borderId="14" xfId="2" applyNumberFormat="1" applyFont="1" applyFill="1" applyBorder="1" applyAlignment="1">
      <alignment horizontal="center" vertical="center"/>
    </xf>
    <xf numFmtId="0" fontId="0" fillId="10" borderId="13" xfId="0" applyFill="1" applyBorder="1" applyAlignment="1">
      <alignment horizontal="right" vertical="center"/>
    </xf>
    <xf numFmtId="164" fontId="0" fillId="10" borderId="0" xfId="1" applyNumberFormat="1" applyFont="1" applyFill="1" applyBorder="1" applyAlignment="1">
      <alignment horizontal="center" vertical="center"/>
    </xf>
    <xf numFmtId="164" fontId="0" fillId="10" borderId="8" xfId="1" applyNumberFormat="1" applyFont="1" applyFill="1" applyBorder="1" applyAlignment="1">
      <alignment horizontal="center" vertical="center"/>
    </xf>
    <xf numFmtId="164" fontId="0" fillId="10" borderId="9" xfId="1" applyNumberFormat="1" applyFont="1" applyFill="1" applyBorder="1" applyAlignment="1">
      <alignment horizontal="center" vertical="center"/>
    </xf>
    <xf numFmtId="165" fontId="0" fillId="10" borderId="8" xfId="3" applyNumberFormat="1" applyFont="1" applyFill="1" applyBorder="1" applyAlignment="1">
      <alignment horizontal="center" vertical="center"/>
    </xf>
    <xf numFmtId="165" fontId="0" fillId="10" borderId="9" xfId="3" applyNumberFormat="1" applyFont="1" applyFill="1" applyBorder="1" applyAlignment="1">
      <alignment horizontal="center" vertical="center"/>
    </xf>
    <xf numFmtId="164" fontId="0" fillId="10" borderId="7" xfId="1" applyNumberFormat="1" applyFont="1" applyFill="1" applyBorder="1" applyAlignment="1">
      <alignment horizontal="center" vertical="center"/>
    </xf>
    <xf numFmtId="164" fontId="0" fillId="10" borderId="16" xfId="1" applyNumberFormat="1" applyFont="1" applyFill="1" applyBorder="1" applyAlignment="1">
      <alignment horizontal="center" vertical="center"/>
    </xf>
    <xf numFmtId="0" fontId="0" fillId="0" borderId="6" xfId="0" applyBorder="1" applyAlignment="1">
      <alignment vertical="center" wrapText="1"/>
    </xf>
    <xf numFmtId="164" fontId="0" fillId="3" borderId="9" xfId="1" applyNumberFormat="1" applyFont="1" applyFill="1" applyBorder="1" applyAlignment="1">
      <alignment horizontal="center" vertical="center"/>
    </xf>
    <xf numFmtId="164" fontId="3" fillId="0" borderId="2" xfId="1" applyNumberFormat="1" applyFont="1" applyBorder="1"/>
    <xf numFmtId="164" fontId="0" fillId="10" borderId="12" xfId="1" applyNumberFormat="1" applyFont="1" applyFill="1" applyBorder="1"/>
    <xf numFmtId="164" fontId="0" fillId="10" borderId="14" xfId="1" applyNumberFormat="1" applyFont="1" applyFill="1" applyBorder="1"/>
    <xf numFmtId="0" fontId="0" fillId="2" borderId="14" xfId="0" applyFill="1" applyBorder="1"/>
    <xf numFmtId="0" fontId="0" fillId="2" borderId="13" xfId="0" applyFill="1" applyBorder="1"/>
    <xf numFmtId="0" fontId="0" fillId="3" borderId="12" xfId="0" applyFill="1" applyBorder="1"/>
    <xf numFmtId="166" fontId="0" fillId="2" borderId="13" xfId="2" applyNumberFormat="1" applyFont="1" applyFill="1" applyBorder="1"/>
    <xf numFmtId="0" fontId="3" fillId="0" borderId="7" xfId="0" applyFont="1" applyBorder="1"/>
    <xf numFmtId="167" fontId="0" fillId="10" borderId="13" xfId="0" applyNumberFormat="1" applyFill="1" applyBorder="1"/>
    <xf numFmtId="164" fontId="3" fillId="10" borderId="7" xfId="0" applyNumberFormat="1" applyFont="1" applyFill="1" applyBorder="1"/>
    <xf numFmtId="164" fontId="3" fillId="10" borderId="2" xfId="0" applyNumberFormat="1" applyFont="1" applyFill="1" applyBorder="1"/>
    <xf numFmtId="165" fontId="0" fillId="2" borderId="4" xfId="3" applyNumberFormat="1" applyFont="1" applyFill="1" applyBorder="1" applyAlignment="1">
      <alignment horizontal="right" vertical="center"/>
    </xf>
    <xf numFmtId="0" fontId="3" fillId="0" borderId="12" xfId="0" applyFont="1" applyBorder="1"/>
    <xf numFmtId="0" fontId="3" fillId="0" borderId="2" xfId="0" applyFont="1" applyBorder="1" applyAlignment="1">
      <alignment wrapText="1"/>
    </xf>
    <xf numFmtId="0" fontId="3" fillId="0" borderId="1" xfId="0" applyFont="1" applyBorder="1" applyAlignment="1">
      <alignment wrapText="1"/>
    </xf>
    <xf numFmtId="0" fontId="3" fillId="0" borderId="8" xfId="0" applyFont="1" applyBorder="1" applyAlignment="1">
      <alignment wrapText="1"/>
    </xf>
    <xf numFmtId="0" fontId="3" fillId="0" borderId="12" xfId="0" applyFont="1" applyBorder="1" applyAlignment="1">
      <alignment wrapText="1"/>
    </xf>
    <xf numFmtId="164" fontId="0" fillId="2" borderId="10" xfId="1" applyNumberFormat="1" applyFont="1" applyFill="1" applyBorder="1"/>
    <xf numFmtId="164" fontId="0" fillId="2" borderId="5" xfId="1" applyNumberFormat="1" applyFont="1" applyFill="1" applyBorder="1"/>
    <xf numFmtId="9" fontId="0" fillId="2" borderId="12" xfId="2" applyFont="1" applyFill="1" applyBorder="1"/>
    <xf numFmtId="9" fontId="0" fillId="2" borderId="3" xfId="2" applyFont="1" applyFill="1" applyBorder="1"/>
    <xf numFmtId="9" fontId="0" fillId="2" borderId="10" xfId="2" applyFont="1" applyFill="1" applyBorder="1"/>
    <xf numFmtId="9" fontId="0" fillId="2" borderId="5" xfId="2" applyFont="1" applyFill="1" applyBorder="1"/>
    <xf numFmtId="9" fontId="0" fillId="3" borderId="12" xfId="2" applyFont="1" applyFill="1" applyBorder="1"/>
    <xf numFmtId="0" fontId="0" fillId="3" borderId="4" xfId="0" applyFill="1" applyBorder="1"/>
    <xf numFmtId="164" fontId="0" fillId="10" borderId="6" xfId="0" applyNumberFormat="1" applyFill="1" applyBorder="1"/>
    <xf numFmtId="0" fontId="0" fillId="10" borderId="12" xfId="0" applyFill="1" applyBorder="1"/>
    <xf numFmtId="0" fontId="0" fillId="10" borderId="14" xfId="0" applyFill="1" applyBorder="1"/>
    <xf numFmtId="44" fontId="0" fillId="10" borderId="14" xfId="1" applyFont="1" applyFill="1" applyBorder="1"/>
    <xf numFmtId="44" fontId="0" fillId="10" borderId="13" xfId="1" applyFont="1" applyFill="1" applyBorder="1"/>
    <xf numFmtId="164" fontId="0" fillId="10" borderId="13" xfId="0" applyNumberFormat="1" applyFill="1" applyBorder="1"/>
    <xf numFmtId="0" fontId="0" fillId="10" borderId="4" xfId="0" applyFill="1" applyBorder="1"/>
    <xf numFmtId="0" fontId="0" fillId="10" borderId="11" xfId="0" applyFill="1" applyBorder="1"/>
    <xf numFmtId="165" fontId="0" fillId="10" borderId="12" xfId="0" applyNumberFormat="1" applyFill="1" applyBorder="1"/>
    <xf numFmtId="165" fontId="0" fillId="10" borderId="14" xfId="0" applyNumberFormat="1" applyFill="1" applyBorder="1"/>
    <xf numFmtId="165" fontId="0" fillId="10" borderId="4" xfId="0" applyNumberFormat="1" applyFill="1" applyBorder="1"/>
    <xf numFmtId="165" fontId="0" fillId="10" borderId="11" xfId="0" applyNumberFormat="1" applyFill="1" applyBorder="1"/>
    <xf numFmtId="44" fontId="0" fillId="10" borderId="11" xfId="1" applyFont="1" applyFill="1" applyBorder="1"/>
    <xf numFmtId="9" fontId="6" fillId="2" borderId="12" xfId="2" applyFont="1" applyFill="1" applyBorder="1"/>
    <xf numFmtId="9" fontId="6" fillId="2" borderId="10" xfId="2" applyFont="1" applyFill="1" applyBorder="1"/>
    <xf numFmtId="9" fontId="6" fillId="2" borderId="5" xfId="2" applyFont="1" applyFill="1" applyBorder="1"/>
    <xf numFmtId="164" fontId="6" fillId="2" borderId="12" xfId="1" applyNumberFormat="1" applyFont="1" applyFill="1" applyBorder="1"/>
    <xf numFmtId="164" fontId="6" fillId="2" borderId="14" xfId="1" applyNumberFormat="1" applyFont="1" applyFill="1" applyBorder="1"/>
    <xf numFmtId="164" fontId="6" fillId="2" borderId="13" xfId="1" applyNumberFormat="1" applyFont="1" applyFill="1" applyBorder="1"/>
    <xf numFmtId="44" fontId="0" fillId="10" borderId="11" xfId="0" applyNumberFormat="1" applyFill="1" applyBorder="1"/>
    <xf numFmtId="44" fontId="0" fillId="10" borderId="14" xfId="0" applyNumberFormat="1" applyFill="1" applyBorder="1"/>
    <xf numFmtId="164" fontId="6" fillId="10" borderId="12" xfId="1" applyNumberFormat="1" applyFont="1" applyFill="1" applyBorder="1"/>
    <xf numFmtId="164" fontId="6" fillId="10" borderId="14" xfId="1" applyNumberFormat="1" applyFont="1" applyFill="1" applyBorder="1"/>
    <xf numFmtId="164" fontId="0" fillId="10" borderId="0" xfId="0" applyNumberFormat="1" applyFill="1"/>
    <xf numFmtId="164" fontId="0" fillId="10" borderId="0" xfId="1" applyNumberFormat="1" applyFont="1" applyFill="1" applyBorder="1"/>
    <xf numFmtId="164" fontId="0" fillId="2" borderId="0" xfId="1" applyNumberFormat="1" applyFont="1" applyFill="1" applyBorder="1"/>
    <xf numFmtId="44" fontId="0" fillId="10" borderId="13" xfId="0" applyNumberFormat="1" applyFill="1" applyBorder="1"/>
    <xf numFmtId="0" fontId="3" fillId="0" borderId="16" xfId="0" applyFont="1" applyBorder="1"/>
    <xf numFmtId="164" fontId="0" fillId="10" borderId="4" xfId="0" applyNumberFormat="1" applyFill="1" applyBorder="1"/>
    <xf numFmtId="164" fontId="0" fillId="10" borderId="11" xfId="0" applyNumberFormat="1" applyFill="1" applyBorder="1"/>
    <xf numFmtId="0" fontId="2" fillId="0" borderId="16" xfId="0" applyFont="1" applyBorder="1" applyAlignment="1">
      <alignment horizontal="center" vertical="center" wrapText="1"/>
    </xf>
    <xf numFmtId="0" fontId="3" fillId="0" borderId="7" xfId="0" applyFont="1" applyBorder="1" applyAlignment="1">
      <alignment vertical="center"/>
    </xf>
    <xf numFmtId="44" fontId="3" fillId="0" borderId="7" xfId="1" applyFont="1" applyFill="1" applyBorder="1"/>
    <xf numFmtId="44" fontId="3" fillId="0" borderId="2" xfId="1" applyFont="1" applyFill="1" applyBorder="1"/>
    <xf numFmtId="44" fontId="0" fillId="10" borderId="7" xfId="1" applyFont="1" applyFill="1" applyBorder="1"/>
    <xf numFmtId="44" fontId="0" fillId="10" borderId="2" xfId="1" applyFont="1" applyFill="1" applyBorder="1"/>
    <xf numFmtId="0" fontId="2" fillId="7" borderId="1" xfId="0" applyFont="1" applyFill="1" applyBorder="1" applyAlignment="1">
      <alignment horizontal="center" vertical="center" wrapText="1"/>
    </xf>
    <xf numFmtId="164" fontId="3" fillId="0" borderId="12" xfId="0" applyNumberFormat="1" applyFont="1" applyBorder="1"/>
    <xf numFmtId="164" fontId="3" fillId="0" borderId="4" xfId="0" applyNumberFormat="1" applyFont="1" applyBorder="1"/>
    <xf numFmtId="0" fontId="3" fillId="0" borderId="52" xfId="0" applyFont="1" applyBorder="1" applyAlignment="1">
      <alignment horizontal="center"/>
    </xf>
    <xf numFmtId="0" fontId="3" fillId="0" borderId="53" xfId="0" applyFont="1" applyBorder="1" applyAlignment="1">
      <alignment horizontal="center"/>
    </xf>
    <xf numFmtId="0" fontId="3" fillId="0" borderId="54" xfId="0" applyFont="1" applyBorder="1" applyAlignment="1">
      <alignment horizontal="center"/>
    </xf>
    <xf numFmtId="0" fontId="2" fillId="7" borderId="5" xfId="0" applyFont="1" applyFill="1" applyBorder="1" applyAlignment="1">
      <alignment horizontal="center" vertical="center" wrapText="1"/>
    </xf>
    <xf numFmtId="0" fontId="20" fillId="0" borderId="0" xfId="0" applyFont="1"/>
    <xf numFmtId="0" fontId="12" fillId="0" borderId="10" xfId="0" applyFont="1" applyBorder="1" applyAlignment="1">
      <alignment vertical="center"/>
    </xf>
    <xf numFmtId="165" fontId="12" fillId="0" borderId="0" xfId="3" applyNumberFormat="1" applyFont="1" applyFill="1" applyBorder="1" applyAlignment="1">
      <alignment horizontal="right" vertical="center"/>
    </xf>
    <xf numFmtId="164" fontId="12" fillId="0" borderId="0" xfId="1" applyNumberFormat="1" applyFont="1" applyFill="1" applyBorder="1" applyAlignment="1">
      <alignment horizontal="right" vertical="center"/>
    </xf>
    <xf numFmtId="164" fontId="0" fillId="0" borderId="0" xfId="1" applyNumberFormat="1" applyFont="1" applyFill="1"/>
    <xf numFmtId="0" fontId="0" fillId="14" borderId="0" xfId="0" applyFill="1"/>
    <xf numFmtId="0" fontId="2" fillId="23" borderId="42" xfId="0" applyFont="1" applyFill="1" applyBorder="1"/>
    <xf numFmtId="0" fontId="3" fillId="0" borderId="0" xfId="0" applyFont="1" applyAlignment="1">
      <alignment horizontal="center"/>
    </xf>
    <xf numFmtId="0" fontId="3" fillId="0" borderId="0" xfId="0" applyFont="1" applyAlignment="1">
      <alignment wrapText="1"/>
    </xf>
    <xf numFmtId="0" fontId="3" fillId="0" borderId="11" xfId="0" applyFont="1" applyBorder="1"/>
    <xf numFmtId="0" fontId="0" fillId="2" borderId="0" xfId="0" applyFill="1"/>
    <xf numFmtId="0" fontId="12" fillId="0" borderId="0" xfId="0" applyFont="1"/>
    <xf numFmtId="0" fontId="0" fillId="2" borderId="0" xfId="1" applyNumberFormat="1" applyFont="1" applyFill="1" applyBorder="1"/>
    <xf numFmtId="0" fontId="0" fillId="2" borderId="14" xfId="2" applyNumberFormat="1" applyFont="1" applyFill="1" applyBorder="1"/>
    <xf numFmtId="0" fontId="0" fillId="2" borderId="13" xfId="2" applyNumberFormat="1" applyFont="1" applyFill="1" applyBorder="1"/>
    <xf numFmtId="164" fontId="0" fillId="2" borderId="4" xfId="0" applyNumberFormat="1" applyFill="1" applyBorder="1"/>
    <xf numFmtId="0" fontId="24" fillId="0" borderId="16" xfId="0" applyFont="1" applyBorder="1"/>
    <xf numFmtId="0" fontId="24" fillId="0" borderId="7" xfId="0" applyFont="1" applyBorder="1"/>
    <xf numFmtId="0" fontId="25" fillId="0" borderId="1" xfId="0" applyFont="1" applyBorder="1"/>
    <xf numFmtId="0" fontId="25" fillId="0" borderId="2" xfId="0" applyFont="1" applyBorder="1"/>
    <xf numFmtId="0" fontId="24" fillId="0" borderId="12" xfId="0" applyFont="1" applyBorder="1" applyAlignment="1">
      <alignment vertical="center" wrapText="1"/>
    </xf>
    <xf numFmtId="0" fontId="24" fillId="26" borderId="12" xfId="0" applyFont="1" applyFill="1" applyBorder="1"/>
    <xf numFmtId="0" fontId="24" fillId="0" borderId="14" xfId="0" applyFont="1" applyBorder="1" applyAlignment="1">
      <alignment vertical="center" wrapText="1"/>
    </xf>
    <xf numFmtId="16" fontId="24" fillId="0" borderId="14" xfId="0" applyNumberFormat="1" applyFont="1" applyBorder="1" applyAlignment="1">
      <alignment vertical="center" wrapText="1"/>
    </xf>
    <xf numFmtId="9" fontId="24" fillId="0" borderId="14" xfId="0" applyNumberFormat="1" applyFont="1" applyBorder="1" applyAlignment="1">
      <alignment vertical="center" wrapText="1"/>
    </xf>
    <xf numFmtId="44" fontId="24" fillId="25" borderId="14" xfId="1" applyFont="1" applyFill="1" applyBorder="1"/>
    <xf numFmtId="44" fontId="24" fillId="25" borderId="13" xfId="1" applyFont="1" applyFill="1" applyBorder="1"/>
    <xf numFmtId="16" fontId="24" fillId="0" borderId="13" xfId="0" applyNumberFormat="1" applyFont="1" applyBorder="1" applyAlignment="1">
      <alignment vertical="center" wrapText="1"/>
    </xf>
    <xf numFmtId="0" fontId="0" fillId="2" borderId="2" xfId="0" applyFill="1" applyBorder="1"/>
    <xf numFmtId="0" fontId="24" fillId="0" borderId="13" xfId="0" applyFont="1" applyBorder="1" applyAlignment="1">
      <alignment vertical="center" wrapText="1"/>
    </xf>
    <xf numFmtId="44" fontId="24" fillId="25" borderId="4" xfId="1" applyFont="1" applyFill="1" applyBorder="1" applyAlignment="1">
      <alignment horizontal="right" vertical="center"/>
    </xf>
    <xf numFmtId="9" fontId="24" fillId="25" borderId="6" xfId="2" applyFont="1" applyFill="1" applyBorder="1" applyAlignment="1">
      <alignment horizontal="right" vertical="center"/>
    </xf>
    <xf numFmtId="9" fontId="24" fillId="25" borderId="13" xfId="2" applyFont="1" applyFill="1" applyBorder="1"/>
    <xf numFmtId="44" fontId="24" fillId="25" borderId="12" xfId="1" applyFont="1" applyFill="1" applyBorder="1"/>
    <xf numFmtId="0" fontId="24" fillId="0" borderId="16" xfId="0" applyFont="1" applyBorder="1" applyAlignment="1">
      <alignment vertical="center"/>
    </xf>
    <xf numFmtId="0" fontId="24" fillId="0" borderId="7" xfId="0" applyFont="1" applyBorder="1" applyAlignment="1">
      <alignment vertical="center"/>
    </xf>
    <xf numFmtId="0" fontId="25" fillId="0" borderId="1" xfId="0" applyFont="1" applyBorder="1" applyAlignment="1">
      <alignment horizontal="left" vertical="center"/>
    </xf>
    <xf numFmtId="9" fontId="24" fillId="25" borderId="11" xfId="2" applyFont="1" applyFill="1" applyBorder="1" applyAlignment="1">
      <alignment horizontal="right" vertical="center"/>
    </xf>
    <xf numFmtId="44" fontId="24" fillId="25" borderId="11" xfId="1" applyFont="1" applyFill="1" applyBorder="1" applyAlignment="1">
      <alignment horizontal="right" vertical="center"/>
    </xf>
    <xf numFmtId="9" fontId="24" fillId="25" borderId="14" xfId="2" applyFont="1" applyFill="1" applyBorder="1"/>
    <xf numFmtId="0" fontId="3" fillId="0" borderId="2" xfId="0" applyFont="1" applyBorder="1" applyAlignment="1">
      <alignment horizontal="center" vertical="center"/>
    </xf>
    <xf numFmtId="0" fontId="3" fillId="0" borderId="1" xfId="0" applyFont="1" applyBorder="1" applyAlignment="1">
      <alignment horizontal="center" vertical="center"/>
    </xf>
    <xf numFmtId="164" fontId="0" fillId="10" borderId="12" xfId="1" applyNumberFormat="1" applyFont="1" applyFill="1" applyBorder="1" applyAlignment="1">
      <alignment horizontal="right" vertical="center"/>
    </xf>
    <xf numFmtId="165" fontId="0" fillId="10" borderId="13" xfId="3" applyNumberFormat="1" applyFont="1" applyFill="1" applyBorder="1" applyAlignment="1">
      <alignment horizontal="right" vertical="center"/>
    </xf>
    <xf numFmtId="0" fontId="3" fillId="0" borderId="1" xfId="0" applyFont="1" applyBorder="1" applyAlignment="1">
      <alignment horizontal="center"/>
    </xf>
    <xf numFmtId="9" fontId="0" fillId="2" borderId="1" xfId="2" applyFont="1" applyFill="1" applyBorder="1"/>
    <xf numFmtId="0" fontId="0" fillId="2" borderId="9" xfId="1" quotePrefix="1" applyNumberFormat="1" applyFont="1" applyFill="1" applyBorder="1"/>
    <xf numFmtId="0" fontId="4" fillId="23" borderId="44" xfId="0" applyFont="1" applyFill="1" applyBorder="1"/>
    <xf numFmtId="0" fontId="4" fillId="23" borderId="64" xfId="0" applyFont="1" applyFill="1" applyBorder="1"/>
    <xf numFmtId="0" fontId="4" fillId="23" borderId="48" xfId="0" applyFont="1" applyFill="1" applyBorder="1"/>
    <xf numFmtId="0" fontId="0" fillId="2" borderId="48" xfId="0" applyFill="1" applyBorder="1"/>
    <xf numFmtId="0" fontId="0" fillId="2" borderId="56" xfId="0" applyFill="1" applyBorder="1"/>
    <xf numFmtId="0" fontId="0" fillId="2" borderId="12" xfId="0" applyFill="1" applyBorder="1"/>
    <xf numFmtId="164" fontId="0" fillId="10" borderId="12" xfId="0" applyNumberFormat="1" applyFill="1" applyBorder="1" applyAlignment="1">
      <alignment horizontal="right" vertical="center"/>
    </xf>
    <xf numFmtId="44" fontId="0" fillId="0" borderId="0" xfId="0" applyNumberFormat="1"/>
    <xf numFmtId="164" fontId="0" fillId="0" borderId="11" xfId="0" applyNumberFormat="1" applyBorder="1"/>
    <xf numFmtId="0" fontId="0" fillId="2" borderId="10" xfId="0" applyFill="1" applyBorder="1"/>
    <xf numFmtId="0" fontId="24" fillId="0" borderId="3" xfId="0" applyFont="1" applyBorder="1" applyAlignment="1">
      <alignment vertical="center" wrapText="1"/>
    </xf>
    <xf numFmtId="0" fontId="24" fillId="0" borderId="5" xfId="0" applyFont="1" applyBorder="1" applyAlignment="1">
      <alignment vertical="center" wrapText="1"/>
    </xf>
    <xf numFmtId="0" fontId="3" fillId="0" borderId="9" xfId="0" applyFont="1" applyBorder="1"/>
    <xf numFmtId="0" fontId="3" fillId="10" borderId="7" xfId="0" applyFont="1" applyFill="1" applyBorder="1"/>
    <xf numFmtId="164" fontId="21" fillId="21" borderId="0" xfId="5" applyNumberFormat="1" applyBorder="1"/>
    <xf numFmtId="164" fontId="21" fillId="21" borderId="11" xfId="5" applyNumberFormat="1" applyBorder="1"/>
    <xf numFmtId="164" fontId="22" fillId="22" borderId="0" xfId="6" applyNumberFormat="1" applyBorder="1"/>
    <xf numFmtId="164" fontId="22" fillId="22" borderId="11" xfId="6" applyNumberFormat="1" applyBorder="1"/>
    <xf numFmtId="164" fontId="3" fillId="0" borderId="6" xfId="0" applyNumberFormat="1" applyFont="1" applyBorder="1"/>
    <xf numFmtId="164" fontId="3" fillId="0" borderId="2" xfId="0" applyNumberFormat="1" applyFont="1" applyBorder="1"/>
    <xf numFmtId="0" fontId="0" fillId="3" borderId="14" xfId="0" applyFill="1" applyBorder="1"/>
    <xf numFmtId="0" fontId="3" fillId="0" borderId="4" xfId="0" applyFont="1" applyBorder="1" applyAlignment="1">
      <alignment wrapText="1"/>
    </xf>
    <xf numFmtId="164" fontId="0" fillId="10" borderId="9" xfId="1" applyNumberFormat="1" applyFont="1" applyFill="1" applyBorder="1"/>
    <xf numFmtId="164" fontId="3" fillId="0" borderId="7" xfId="0" applyNumberFormat="1" applyFont="1" applyBorder="1"/>
    <xf numFmtId="0" fontId="23" fillId="0" borderId="0" xfId="0" applyFont="1"/>
    <xf numFmtId="0" fontId="24" fillId="0" borderId="10" xfId="0" applyFont="1" applyBorder="1" applyAlignment="1">
      <alignment vertical="center" wrapText="1"/>
    </xf>
    <xf numFmtId="164" fontId="0" fillId="10" borderId="14" xfId="0" applyNumberFormat="1" applyFill="1" applyBorder="1" applyAlignment="1">
      <alignment horizontal="center"/>
    </xf>
    <xf numFmtId="44" fontId="0" fillId="10" borderId="14" xfId="0" applyNumberFormat="1" applyFill="1" applyBorder="1" applyAlignment="1">
      <alignment horizontal="center"/>
    </xf>
    <xf numFmtId="164" fontId="0" fillId="10" borderId="11" xfId="0" applyNumberFormat="1" applyFill="1" applyBorder="1" applyAlignment="1">
      <alignment horizontal="center"/>
    </xf>
    <xf numFmtId="167" fontId="0" fillId="10" borderId="14" xfId="0" applyNumberFormat="1" applyFill="1" applyBorder="1"/>
    <xf numFmtId="44" fontId="3" fillId="29" borderId="16" xfId="1" applyFont="1" applyFill="1" applyBorder="1"/>
    <xf numFmtId="0" fontId="3" fillId="0" borderId="63" xfId="0" applyFont="1" applyBorder="1" applyAlignment="1">
      <alignment wrapText="1"/>
    </xf>
    <xf numFmtId="164" fontId="0" fillId="2" borderId="64" xfId="1" applyNumberFormat="1" applyFont="1" applyFill="1" applyBorder="1"/>
    <xf numFmtId="164" fontId="4" fillId="23" borderId="64" xfId="1" applyNumberFormat="1" applyFont="1" applyFill="1" applyBorder="1" applyAlignment="1"/>
    <xf numFmtId="164" fontId="0" fillId="2" borderId="65" xfId="1" applyNumberFormat="1" applyFont="1" applyFill="1" applyBorder="1"/>
    <xf numFmtId="9" fontId="0" fillId="3" borderId="4" xfId="2" applyFont="1" applyFill="1" applyBorder="1"/>
    <xf numFmtId="0" fontId="2" fillId="23" borderId="41" xfId="0" applyFont="1" applyFill="1" applyBorder="1"/>
    <xf numFmtId="0" fontId="2" fillId="23" borderId="45" xfId="0" applyFont="1" applyFill="1" applyBorder="1"/>
    <xf numFmtId="0" fontId="3" fillId="0" borderId="5" xfId="0" applyFont="1" applyBorder="1" applyAlignment="1">
      <alignment horizontal="center"/>
    </xf>
    <xf numFmtId="0" fontId="3" fillId="15" borderId="1" xfId="0" applyFont="1" applyFill="1" applyBorder="1" applyAlignment="1">
      <alignment vertical="center" wrapText="1"/>
    </xf>
    <xf numFmtId="164" fontId="6" fillId="10" borderId="14" xfId="0" applyNumberFormat="1" applyFont="1" applyFill="1" applyBorder="1"/>
    <xf numFmtId="164" fontId="6" fillId="10" borderId="13" xfId="0" applyNumberFormat="1" applyFont="1" applyFill="1" applyBorder="1"/>
    <xf numFmtId="164" fontId="0" fillId="10" borderId="19" xfId="0" applyNumberFormat="1" applyFill="1" applyBorder="1"/>
    <xf numFmtId="0" fontId="0" fillId="14" borderId="8" xfId="0" applyFill="1" applyBorder="1"/>
    <xf numFmtId="0" fontId="0" fillId="14" borderId="10" xfId="0" quotePrefix="1" applyFill="1" applyBorder="1"/>
    <xf numFmtId="0" fontId="27" fillId="0" borderId="0" xfId="0" applyFont="1"/>
    <xf numFmtId="9" fontId="0" fillId="2" borderId="0" xfId="2" applyFont="1" applyFill="1" applyBorder="1"/>
    <xf numFmtId="0" fontId="0" fillId="3" borderId="2" xfId="0" applyFill="1" applyBorder="1"/>
    <xf numFmtId="164" fontId="0" fillId="10" borderId="2" xfId="1" applyNumberFormat="1" applyFont="1" applyFill="1" applyBorder="1"/>
    <xf numFmtId="9" fontId="0" fillId="2" borderId="9" xfId="2" applyFont="1" applyFill="1" applyBorder="1"/>
    <xf numFmtId="164" fontId="0" fillId="10" borderId="16" xfId="0" applyNumberFormat="1" applyFill="1" applyBorder="1"/>
    <xf numFmtId="164" fontId="0" fillId="10" borderId="25" xfId="0" applyNumberFormat="1" applyFill="1" applyBorder="1"/>
    <xf numFmtId="164" fontId="0" fillId="10" borderId="20" xfId="0" applyNumberFormat="1" applyFill="1" applyBorder="1"/>
    <xf numFmtId="165" fontId="0" fillId="10" borderId="4" xfId="0" applyNumberFormat="1" applyFill="1" applyBorder="1" applyAlignment="1">
      <alignment horizontal="right" vertical="center"/>
    </xf>
    <xf numFmtId="165" fontId="0" fillId="10" borderId="11" xfId="0" applyNumberFormat="1" applyFill="1" applyBorder="1" applyAlignment="1">
      <alignment horizontal="right" vertical="center"/>
    </xf>
    <xf numFmtId="165" fontId="9" fillId="11" borderId="11" xfId="0" applyNumberFormat="1" applyFont="1" applyFill="1" applyBorder="1" applyAlignment="1">
      <alignment horizontal="right" vertical="center"/>
    </xf>
    <xf numFmtId="164" fontId="9" fillId="11" borderId="14" xfId="0" applyNumberFormat="1" applyFont="1" applyFill="1" applyBorder="1" applyAlignment="1">
      <alignment horizontal="right" vertical="center"/>
    </xf>
    <xf numFmtId="0" fontId="9" fillId="11" borderId="14" xfId="0" applyFont="1" applyFill="1" applyBorder="1" applyAlignment="1">
      <alignment horizontal="right" vertical="center"/>
    </xf>
    <xf numFmtId="0" fontId="9" fillId="11" borderId="11" xfId="0" applyFont="1" applyFill="1" applyBorder="1" applyAlignment="1">
      <alignment horizontal="right" vertical="center"/>
    </xf>
    <xf numFmtId="164" fontId="9" fillId="13" borderId="6" xfId="0" applyNumberFormat="1" applyFont="1" applyFill="1" applyBorder="1" applyAlignment="1">
      <alignment horizontal="right" vertical="center"/>
    </xf>
    <xf numFmtId="167" fontId="0" fillId="10" borderId="11" xfId="0" applyNumberFormat="1" applyFill="1" applyBorder="1"/>
    <xf numFmtId="164" fontId="3" fillId="0" borderId="4" xfId="1" applyNumberFormat="1" applyFont="1" applyBorder="1"/>
    <xf numFmtId="164" fontId="0" fillId="9" borderId="14" xfId="1" applyNumberFormat="1" applyFont="1" applyFill="1" applyBorder="1"/>
    <xf numFmtId="164" fontId="0" fillId="9" borderId="13" xfId="1" applyNumberFormat="1" applyFont="1" applyFill="1" applyBorder="1"/>
    <xf numFmtId="164" fontId="0" fillId="9" borderId="0" xfId="0" applyNumberFormat="1" applyFill="1"/>
    <xf numFmtId="0" fontId="3" fillId="0" borderId="10" xfId="0" applyFont="1" applyBorder="1" applyAlignment="1">
      <alignment horizontal="center"/>
    </xf>
    <xf numFmtId="164" fontId="0" fillId="9" borderId="11" xfId="0" applyNumberFormat="1" applyFill="1" applyBorder="1"/>
    <xf numFmtId="0" fontId="0" fillId="10" borderId="13" xfId="0" applyFill="1" applyBorder="1"/>
    <xf numFmtId="169" fontId="0" fillId="0" borderId="0" xfId="0" applyNumberFormat="1"/>
    <xf numFmtId="0" fontId="25" fillId="0" borderId="4" xfId="0" applyFont="1" applyBorder="1"/>
    <xf numFmtId="0" fontId="25" fillId="0" borderId="12" xfId="0" applyFont="1" applyBorder="1"/>
    <xf numFmtId="0" fontId="24" fillId="0" borderId="2" xfId="0" applyFont="1" applyBorder="1"/>
    <xf numFmtId="0" fontId="25" fillId="2" borderId="12" xfId="0" applyFont="1" applyFill="1" applyBorder="1"/>
    <xf numFmtId="0" fontId="25" fillId="2" borderId="14" xfId="0" applyFont="1" applyFill="1" applyBorder="1"/>
    <xf numFmtId="0" fontId="25" fillId="2" borderId="13" xfId="0" applyFont="1" applyFill="1" applyBorder="1"/>
    <xf numFmtId="0" fontId="25" fillId="2" borderId="3" xfId="0" applyFont="1" applyFill="1" applyBorder="1"/>
    <xf numFmtId="0" fontId="25" fillId="2" borderId="10" xfId="0" applyFont="1" applyFill="1" applyBorder="1"/>
    <xf numFmtId="0" fontId="25" fillId="2" borderId="5" xfId="0" applyFont="1" applyFill="1" applyBorder="1"/>
    <xf numFmtId="0" fontId="3" fillId="0" borderId="4" xfId="0" applyFont="1" applyBorder="1" applyAlignment="1">
      <alignment horizontal="center" vertical="center"/>
    </xf>
    <xf numFmtId="0" fontId="3" fillId="0" borderId="12" xfId="0" applyFont="1" applyBorder="1" applyAlignment="1">
      <alignment horizontal="center" vertical="center"/>
    </xf>
    <xf numFmtId="169" fontId="0" fillId="10" borderId="13" xfId="1" applyNumberFormat="1" applyFont="1" applyFill="1" applyBorder="1" applyAlignment="1">
      <alignment horizontal="right" vertical="center"/>
    </xf>
    <xf numFmtId="0" fontId="0" fillId="10" borderId="12" xfId="0" applyFill="1" applyBorder="1" applyAlignment="1">
      <alignment horizontal="center" vertical="center"/>
    </xf>
    <xf numFmtId="169" fontId="0" fillId="10" borderId="14" xfId="0" applyNumberFormat="1" applyFill="1" applyBorder="1" applyAlignment="1">
      <alignment horizontal="center" vertical="center"/>
    </xf>
    <xf numFmtId="0" fontId="0" fillId="10" borderId="14" xfId="0" applyFill="1" applyBorder="1" applyAlignment="1">
      <alignment horizontal="center" vertical="center"/>
    </xf>
    <xf numFmtId="0" fontId="3" fillId="0" borderId="3" xfId="0" applyFont="1" applyBorder="1" applyAlignment="1">
      <alignment horizontal="center"/>
    </xf>
    <xf numFmtId="0" fontId="2" fillId="3" borderId="12" xfId="0" applyFont="1" applyFill="1" applyBorder="1" applyAlignment="1">
      <alignment horizontal="center" vertical="center"/>
    </xf>
    <xf numFmtId="0" fontId="2" fillId="3" borderId="14" xfId="0" applyFont="1" applyFill="1" applyBorder="1" applyAlignment="1">
      <alignment horizontal="center" vertical="center"/>
    </xf>
    <xf numFmtId="0" fontId="2" fillId="3" borderId="13" xfId="0" applyFont="1" applyFill="1" applyBorder="1" applyAlignment="1">
      <alignment horizontal="center" vertical="center"/>
    </xf>
    <xf numFmtId="0" fontId="29" fillId="0" borderId="0" xfId="0" applyFont="1" applyAlignment="1">
      <alignment horizontal="center"/>
    </xf>
    <xf numFmtId="0" fontId="0" fillId="14" borderId="10" xfId="0" applyFill="1" applyBorder="1"/>
    <xf numFmtId="0" fontId="35" fillId="14" borderId="10" xfId="0" applyFont="1" applyFill="1" applyBorder="1"/>
    <xf numFmtId="0" fontId="0" fillId="2" borderId="11" xfId="0" applyFill="1" applyBorder="1"/>
    <xf numFmtId="0" fontId="29" fillId="14" borderId="3" xfId="0" applyFont="1" applyFill="1" applyBorder="1"/>
    <xf numFmtId="0" fontId="29" fillId="0" borderId="10" xfId="0" applyFont="1" applyBorder="1"/>
    <xf numFmtId="0" fontId="29" fillId="0" borderId="5" xfId="0" applyFont="1" applyBorder="1"/>
    <xf numFmtId="16" fontId="0" fillId="0" borderId="10" xfId="0" quotePrefix="1" applyNumberFormat="1" applyBorder="1"/>
    <xf numFmtId="16" fontId="0" fillId="0" borderId="5" xfId="0" quotePrefix="1" applyNumberFormat="1" applyBorder="1"/>
    <xf numFmtId="0" fontId="0" fillId="2" borderId="9" xfId="0" applyFill="1" applyBorder="1"/>
    <xf numFmtId="0" fontId="0" fillId="2" borderId="5" xfId="0" applyFill="1" applyBorder="1"/>
    <xf numFmtId="0" fontId="3" fillId="0" borderId="0" xfId="0" quotePrefix="1" applyFont="1"/>
    <xf numFmtId="0" fontId="3" fillId="0" borderId="11" xfId="0" quotePrefix="1" applyFont="1" applyBorder="1"/>
    <xf numFmtId="164" fontId="0" fillId="0" borderId="9" xfId="0" applyNumberFormat="1" applyBorder="1"/>
    <xf numFmtId="164" fontId="0" fillId="0" borderId="6" xfId="0" applyNumberFormat="1" applyBorder="1"/>
    <xf numFmtId="164" fontId="0" fillId="0" borderId="11" xfId="1" applyNumberFormat="1" applyFont="1" applyBorder="1"/>
    <xf numFmtId="172" fontId="0" fillId="0" borderId="0" xfId="0" applyNumberFormat="1"/>
    <xf numFmtId="9" fontId="0" fillId="0" borderId="0" xfId="2" applyFont="1"/>
    <xf numFmtId="164" fontId="0" fillId="10" borderId="1" xfId="1" applyNumberFormat="1" applyFont="1" applyFill="1" applyBorder="1" applyAlignment="1">
      <alignment horizontal="right" vertical="center"/>
    </xf>
    <xf numFmtId="165" fontId="0" fillId="10" borderId="12" xfId="3" applyNumberFormat="1" applyFont="1" applyFill="1" applyBorder="1" applyAlignment="1">
      <alignment horizontal="center" vertical="center"/>
    </xf>
    <xf numFmtId="165" fontId="0" fillId="10" borderId="13" xfId="3" applyNumberFormat="1" applyFont="1" applyFill="1" applyBorder="1" applyAlignment="1">
      <alignment horizontal="center" vertical="center"/>
    </xf>
    <xf numFmtId="16" fontId="0" fillId="0" borderId="0" xfId="0" quotePrefix="1" applyNumberFormat="1"/>
    <xf numFmtId="16" fontId="0" fillId="0" borderId="3" xfId="0" quotePrefix="1" applyNumberFormat="1" applyBorder="1"/>
    <xf numFmtId="44" fontId="0" fillId="0" borderId="9" xfId="1" applyFont="1" applyBorder="1"/>
    <xf numFmtId="0" fontId="4" fillId="23" borderId="75" xfId="0" applyFont="1" applyFill="1" applyBorder="1"/>
    <xf numFmtId="169" fontId="0" fillId="9" borderId="10" xfId="0" applyNumberFormat="1" applyFill="1" applyBorder="1"/>
    <xf numFmtId="169" fontId="0" fillId="9" borderId="11" xfId="0" applyNumberFormat="1" applyFill="1" applyBorder="1"/>
    <xf numFmtId="169" fontId="0" fillId="9" borderId="0" xfId="0" applyNumberFormat="1" applyFill="1"/>
    <xf numFmtId="169" fontId="0" fillId="9" borderId="6" xfId="0" applyNumberFormat="1" applyFill="1" applyBorder="1"/>
    <xf numFmtId="169" fontId="0" fillId="9" borderId="5" xfId="0" applyNumberFormat="1" applyFill="1" applyBorder="1"/>
    <xf numFmtId="169" fontId="0" fillId="9" borderId="9" xfId="0" applyNumberFormat="1" applyFill="1" applyBorder="1"/>
    <xf numFmtId="0" fontId="0" fillId="0" borderId="7" xfId="0" applyBorder="1" applyAlignment="1">
      <alignment vertical="center" wrapText="1"/>
    </xf>
    <xf numFmtId="0" fontId="0" fillId="2" borderId="12" xfId="0" applyFill="1" applyBorder="1" applyAlignment="1">
      <alignment vertical="center" wrapText="1"/>
    </xf>
    <xf numFmtId="0" fontId="0" fillId="2" borderId="14" xfId="0" applyFill="1" applyBorder="1" applyAlignment="1">
      <alignment vertical="center" wrapText="1"/>
    </xf>
    <xf numFmtId="0" fontId="0" fillId="2" borderId="13" xfId="0" applyFill="1" applyBorder="1" applyAlignment="1">
      <alignment vertical="center" wrapText="1"/>
    </xf>
    <xf numFmtId="164" fontId="0" fillId="2" borderId="4" xfId="1" applyNumberFormat="1" applyFont="1" applyFill="1" applyBorder="1"/>
    <xf numFmtId="9" fontId="3" fillId="0" borderId="7" xfId="0" applyNumberFormat="1" applyFont="1" applyBorder="1" applyAlignment="1">
      <alignment horizontal="left"/>
    </xf>
    <xf numFmtId="0" fontId="3" fillId="0" borderId="16" xfId="0" applyFont="1" applyBorder="1" applyAlignment="1">
      <alignment horizontal="left"/>
    </xf>
    <xf numFmtId="9" fontId="3" fillId="0" borderId="1" xfId="0" applyNumberFormat="1" applyFont="1" applyBorder="1" applyAlignment="1">
      <alignment horizontal="left" vertical="center"/>
    </xf>
    <xf numFmtId="0" fontId="3" fillId="0" borderId="1" xfId="0" applyFont="1" applyBorder="1" applyAlignment="1">
      <alignment horizontal="left"/>
    </xf>
    <xf numFmtId="0" fontId="0" fillId="2" borderId="12" xfId="0" applyFill="1" applyBorder="1" applyAlignment="1">
      <alignment horizontal="right" vertical="center"/>
    </xf>
    <xf numFmtId="0" fontId="0" fillId="2" borderId="14" xfId="0" applyFill="1" applyBorder="1" applyAlignment="1">
      <alignment horizontal="right" vertical="center"/>
    </xf>
    <xf numFmtId="0" fontId="0" fillId="2" borderId="13" xfId="0" applyFill="1" applyBorder="1" applyAlignment="1">
      <alignment horizontal="right" vertical="center"/>
    </xf>
    <xf numFmtId="0" fontId="0" fillId="0" borderId="9" xfId="0" applyBorder="1" applyAlignment="1">
      <alignment vertical="center" wrapText="1"/>
    </xf>
    <xf numFmtId="0" fontId="26" fillId="0" borderId="0" xfId="0" applyFont="1" applyAlignment="1">
      <alignment horizontal="center" vertical="center" wrapText="1"/>
    </xf>
    <xf numFmtId="0" fontId="24" fillId="0" borderId="0" xfId="0" applyFont="1" applyAlignment="1">
      <alignment vertical="center" wrapText="1"/>
    </xf>
    <xf numFmtId="0" fontId="25" fillId="0" borderId="0" xfId="0" applyFont="1"/>
    <xf numFmtId="0" fontId="24" fillId="0" borderId="9" xfId="0" applyFont="1" applyBorder="1" applyAlignment="1">
      <alignment vertical="center" wrapText="1"/>
    </xf>
    <xf numFmtId="0" fontId="26" fillId="0" borderId="16" xfId="0" applyFont="1" applyBorder="1" applyAlignment="1">
      <alignment horizontal="center" vertical="center" wrapText="1"/>
    </xf>
    <xf numFmtId="0" fontId="24" fillId="0" borderId="7" xfId="0" applyFont="1" applyBorder="1" applyAlignment="1">
      <alignment vertical="center" wrapText="1"/>
    </xf>
    <xf numFmtId="0" fontId="25" fillId="0" borderId="7" xfId="0" applyFont="1" applyBorder="1"/>
    <xf numFmtId="0" fontId="24" fillId="2" borderId="12" xfId="0" applyFont="1" applyFill="1" applyBorder="1"/>
    <xf numFmtId="0" fontId="24" fillId="2" borderId="4" xfId="0" applyFont="1" applyFill="1" applyBorder="1"/>
    <xf numFmtId="0" fontId="24" fillId="2" borderId="14" xfId="0" applyFont="1" applyFill="1" applyBorder="1"/>
    <xf numFmtId="0" fontId="24" fillId="2" borderId="11" xfId="0" applyFont="1" applyFill="1" applyBorder="1"/>
    <xf numFmtId="0" fontId="24" fillId="2" borderId="13" xfId="0" applyFont="1" applyFill="1" applyBorder="1"/>
    <xf numFmtId="0" fontId="24" fillId="2" borderId="6" xfId="0" applyFont="1" applyFill="1" applyBorder="1"/>
    <xf numFmtId="0" fontId="24" fillId="0" borderId="3" xfId="0" applyFont="1" applyBorder="1"/>
    <xf numFmtId="9" fontId="24" fillId="25" borderId="10" xfId="2" applyFont="1" applyFill="1" applyBorder="1"/>
    <xf numFmtId="9" fontId="24" fillId="25" borderId="5" xfId="2" applyFont="1" applyFill="1" applyBorder="1"/>
    <xf numFmtId="9" fontId="24" fillId="25" borderId="3" xfId="2" applyFont="1" applyFill="1" applyBorder="1"/>
    <xf numFmtId="0" fontId="0" fillId="10" borderId="14" xfId="1" applyNumberFormat="1" applyFont="1" applyFill="1" applyBorder="1" applyAlignment="1">
      <alignment horizontal="right" vertical="center"/>
    </xf>
    <xf numFmtId="9" fontId="0" fillId="0" borderId="10" xfId="0" applyNumberFormat="1" applyBorder="1"/>
    <xf numFmtId="9" fontId="0" fillId="2" borderId="10" xfId="0" applyNumberFormat="1" applyFill="1" applyBorder="1"/>
    <xf numFmtId="9" fontId="0" fillId="2" borderId="5" xfId="0" applyNumberFormat="1" applyFill="1" applyBorder="1"/>
    <xf numFmtId="164" fontId="0" fillId="9" borderId="4" xfId="0" applyNumberFormat="1" applyFill="1" applyBorder="1"/>
    <xf numFmtId="164" fontId="0" fillId="0" borderId="4" xfId="1" applyNumberFormat="1" applyFont="1" applyBorder="1"/>
    <xf numFmtId="164" fontId="0" fillId="0" borderId="6" xfId="1" applyNumberFormat="1" applyFont="1" applyBorder="1"/>
    <xf numFmtId="164" fontId="24" fillId="25" borderId="14" xfId="1" applyNumberFormat="1" applyFont="1" applyFill="1" applyBorder="1"/>
    <xf numFmtId="164" fontId="24" fillId="25" borderId="13" xfId="1" applyNumberFormat="1" applyFont="1" applyFill="1" applyBorder="1"/>
    <xf numFmtId="16" fontId="0" fillId="0" borderId="0" xfId="0" applyNumberFormat="1"/>
    <xf numFmtId="44" fontId="6" fillId="2" borderId="6" xfId="1" applyFont="1" applyFill="1" applyBorder="1"/>
    <xf numFmtId="0" fontId="18" fillId="3" borderId="4" xfId="0" applyFont="1" applyFill="1" applyBorder="1"/>
    <xf numFmtId="16" fontId="0" fillId="0" borderId="10" xfId="0" applyNumberFormat="1" applyBorder="1"/>
    <xf numFmtId="44" fontId="6" fillId="2" borderId="11" xfId="1" applyFont="1" applyFill="1" applyBorder="1"/>
    <xf numFmtId="9" fontId="6" fillId="2" borderId="14" xfId="2" applyFont="1" applyFill="1" applyBorder="1"/>
    <xf numFmtId="9" fontId="6" fillId="2" borderId="13" xfId="2" applyFont="1" applyFill="1" applyBorder="1"/>
    <xf numFmtId="44" fontId="6" fillId="2" borderId="4" xfId="1" applyFont="1" applyFill="1" applyBorder="1"/>
    <xf numFmtId="0" fontId="0" fillId="10" borderId="14" xfId="1" applyNumberFormat="1" applyFont="1" applyFill="1" applyBorder="1"/>
    <xf numFmtId="44" fontId="0" fillId="0" borderId="0" xfId="1" quotePrefix="1" applyFont="1" applyFill="1" applyBorder="1"/>
    <xf numFmtId="16" fontId="0" fillId="0" borderId="14" xfId="0" applyNumberFormat="1" applyBorder="1"/>
    <xf numFmtId="9" fontId="6" fillId="2" borderId="3" xfId="2" applyFont="1" applyFill="1" applyBorder="1"/>
    <xf numFmtId="0" fontId="18" fillId="3" borderId="12" xfId="0" applyFont="1" applyFill="1" applyBorder="1"/>
    <xf numFmtId="169" fontId="0" fillId="9" borderId="3" xfId="0" applyNumberFormat="1" applyFill="1" applyBorder="1"/>
    <xf numFmtId="169" fontId="0" fillId="9" borderId="8" xfId="0" applyNumberFormat="1" applyFill="1" applyBorder="1"/>
    <xf numFmtId="169" fontId="0" fillId="9" borderId="4" xfId="0" applyNumberFormat="1" applyFill="1" applyBorder="1"/>
    <xf numFmtId="169" fontId="0" fillId="0" borderId="8" xfId="0" applyNumberFormat="1" applyBorder="1"/>
    <xf numFmtId="169" fontId="0" fillId="0" borderId="4" xfId="0" applyNumberFormat="1" applyBorder="1"/>
    <xf numFmtId="169" fontId="0" fillId="0" borderId="10" xfId="0" applyNumberFormat="1" applyBorder="1"/>
    <xf numFmtId="169" fontId="0" fillId="0" borderId="11" xfId="0" applyNumberFormat="1" applyBorder="1"/>
    <xf numFmtId="169" fontId="0" fillId="0" borderId="5" xfId="0" applyNumberFormat="1" applyBorder="1"/>
    <xf numFmtId="169" fontId="0" fillId="0" borderId="9" xfId="0" applyNumberFormat="1" applyBorder="1"/>
    <xf numFmtId="169" fontId="0" fillId="0" borderId="6" xfId="0" applyNumberFormat="1" applyBorder="1"/>
    <xf numFmtId="0" fontId="0" fillId="16" borderId="5" xfId="0" applyFill="1" applyBorder="1"/>
    <xf numFmtId="164" fontId="0" fillId="0" borderId="8" xfId="1" applyNumberFormat="1" applyFont="1" applyBorder="1"/>
    <xf numFmtId="164" fontId="0" fillId="0" borderId="9" xfId="1" applyNumberFormat="1" applyFont="1" applyBorder="1"/>
    <xf numFmtId="0" fontId="3" fillId="0" borderId="8" xfId="0" applyFont="1" applyBorder="1" applyAlignment="1">
      <alignment horizontal="center"/>
    </xf>
    <xf numFmtId="0" fontId="3" fillId="0" borderId="4" xfId="0" applyFont="1" applyBorder="1" applyAlignment="1">
      <alignment horizontal="center"/>
    </xf>
    <xf numFmtId="0" fontId="3" fillId="0" borderId="16" xfId="0" applyFont="1" applyBorder="1" applyAlignment="1">
      <alignment horizontal="center"/>
    </xf>
    <xf numFmtId="0" fontId="3" fillId="0" borderId="7" xfId="0" applyFont="1" applyBorder="1" applyAlignment="1">
      <alignment horizontal="center"/>
    </xf>
    <xf numFmtId="0" fontId="3" fillId="0" borderId="2" xfId="0" applyFont="1" applyBorder="1" applyAlignment="1">
      <alignment horizontal="center"/>
    </xf>
    <xf numFmtId="164" fontId="0" fillId="10" borderId="14" xfId="0" applyNumberFormat="1" applyFill="1" applyBorder="1" applyAlignment="1">
      <alignment horizontal="left" indent="1"/>
    </xf>
    <xf numFmtId="0" fontId="3" fillId="0" borderId="13" xfId="0" applyFont="1" applyBorder="1"/>
    <xf numFmtId="164" fontId="0" fillId="3" borderId="11" xfId="0" applyNumberFormat="1" applyFill="1" applyBorder="1"/>
    <xf numFmtId="164" fontId="0" fillId="10" borderId="24" xfId="0" applyNumberFormat="1" applyFill="1" applyBorder="1"/>
    <xf numFmtId="164" fontId="0" fillId="10" borderId="17" xfId="0" applyNumberFormat="1" applyFill="1" applyBorder="1"/>
    <xf numFmtId="164" fontId="0" fillId="10" borderId="18" xfId="0" applyNumberFormat="1" applyFill="1" applyBorder="1"/>
    <xf numFmtId="164" fontId="0" fillId="9" borderId="8" xfId="0" applyNumberFormat="1" applyFill="1" applyBorder="1" applyAlignment="1">
      <alignment horizontal="center"/>
    </xf>
    <xf numFmtId="164" fontId="0" fillId="9" borderId="0" xfId="0" applyNumberFormat="1" applyFill="1" applyAlignment="1">
      <alignment horizontal="center"/>
    </xf>
    <xf numFmtId="164" fontId="0" fillId="9" borderId="9" xfId="0" applyNumberFormat="1" applyFill="1" applyBorder="1" applyAlignment="1">
      <alignment horizontal="center"/>
    </xf>
    <xf numFmtId="164" fontId="0" fillId="0" borderId="0" xfId="0" applyNumberFormat="1" applyAlignment="1">
      <alignment horizontal="center"/>
    </xf>
    <xf numFmtId="169" fontId="0" fillId="9" borderId="14" xfId="0" applyNumberFormat="1" applyFill="1" applyBorder="1"/>
    <xf numFmtId="169" fontId="0" fillId="9" borderId="12" xfId="0" applyNumberFormat="1" applyFill="1" applyBorder="1"/>
    <xf numFmtId="169" fontId="0" fillId="9" borderId="13" xfId="0" applyNumberFormat="1" applyFill="1" applyBorder="1"/>
    <xf numFmtId="169" fontId="0" fillId="0" borderId="1" xfId="0" applyNumberFormat="1" applyBorder="1"/>
    <xf numFmtId="169" fontId="3" fillId="0" borderId="1" xfId="0" applyNumberFormat="1" applyFont="1" applyBorder="1"/>
    <xf numFmtId="164" fontId="3" fillId="0" borderId="16" xfId="0" applyNumberFormat="1" applyFont="1" applyBorder="1"/>
    <xf numFmtId="164" fontId="3" fillId="0" borderId="1" xfId="1" applyNumberFormat="1" applyFont="1" applyFill="1" applyBorder="1"/>
    <xf numFmtId="0" fontId="3" fillId="0" borderId="16" xfId="0" applyFont="1" applyBorder="1" applyAlignment="1">
      <alignment wrapText="1"/>
    </xf>
    <xf numFmtId="164" fontId="0" fillId="0" borderId="3" xfId="1" applyNumberFormat="1" applyFont="1" applyBorder="1"/>
    <xf numFmtId="164" fontId="0" fillId="0" borderId="4" xfId="0" applyNumberFormat="1" applyBorder="1"/>
    <xf numFmtId="164" fontId="0" fillId="0" borderId="10" xfId="1" applyNumberFormat="1" applyFont="1" applyBorder="1"/>
    <xf numFmtId="164" fontId="0" fillId="0" borderId="5" xfId="1" applyNumberFormat="1" applyFont="1" applyBorder="1"/>
    <xf numFmtId="164" fontId="0" fillId="0" borderId="3" xfId="0" applyNumberFormat="1" applyBorder="1"/>
    <xf numFmtId="164" fontId="0" fillId="0" borderId="10" xfId="0" applyNumberFormat="1" applyBorder="1"/>
    <xf numFmtId="164" fontId="0" fillId="0" borderId="5" xfId="0" applyNumberFormat="1" applyBorder="1"/>
    <xf numFmtId="0" fontId="34" fillId="14" borderId="10" xfId="0" applyFont="1" applyFill="1" applyBorder="1"/>
    <xf numFmtId="0" fontId="0" fillId="14" borderId="0" xfId="0" quotePrefix="1" applyFill="1"/>
    <xf numFmtId="0" fontId="34" fillId="14" borderId="10" xfId="0" applyFont="1" applyFill="1" applyBorder="1" applyAlignment="1">
      <alignment vertical="center"/>
    </xf>
    <xf numFmtId="0" fontId="0" fillId="14" borderId="10" xfId="0" applyFill="1" applyBorder="1" applyAlignment="1">
      <alignment horizontal="left" vertical="center" indent="1"/>
    </xf>
    <xf numFmtId="0" fontId="0" fillId="14" borderId="10" xfId="0" applyFill="1" applyBorder="1" applyAlignment="1">
      <alignment vertical="center"/>
    </xf>
    <xf numFmtId="0" fontId="0" fillId="14" borderId="5" xfId="0" applyFill="1" applyBorder="1"/>
    <xf numFmtId="0" fontId="0" fillId="0" borderId="0" xfId="0" applyProtection="1">
      <protection locked="0"/>
    </xf>
    <xf numFmtId="0" fontId="0" fillId="0" borderId="0" xfId="0" applyAlignment="1" applyProtection="1">
      <alignment horizontal="centerContinuous"/>
      <protection locked="0"/>
    </xf>
    <xf numFmtId="0" fontId="0" fillId="3" borderId="0" xfId="0" applyFill="1" applyProtection="1">
      <protection locked="0"/>
    </xf>
    <xf numFmtId="0" fontId="17" fillId="0" borderId="0" xfId="0" applyFont="1" applyAlignment="1" applyProtection="1">
      <alignment horizontal="left" vertical="center"/>
      <protection locked="0"/>
    </xf>
    <xf numFmtId="0" fontId="2" fillId="0" borderId="0" xfId="0" applyFont="1" applyAlignment="1" applyProtection="1">
      <alignment horizontal="center" vertical="center" wrapText="1"/>
      <protection locked="0"/>
    </xf>
    <xf numFmtId="0" fontId="0" fillId="0" borderId="0" xfId="0" applyAlignment="1" applyProtection="1">
      <alignment wrapText="1"/>
      <protection locked="0"/>
    </xf>
    <xf numFmtId="0" fontId="31" fillId="5" borderId="41" xfId="0" applyFont="1" applyFill="1" applyBorder="1" applyAlignment="1" applyProtection="1">
      <alignment horizontal="centerContinuous" vertical="center"/>
      <protection locked="0"/>
    </xf>
    <xf numFmtId="0" fontId="32" fillId="5" borderId="61" xfId="0" applyFont="1" applyFill="1" applyBorder="1" applyAlignment="1" applyProtection="1">
      <alignment horizontal="centerContinuous"/>
      <protection locked="0"/>
    </xf>
    <xf numFmtId="0" fontId="32" fillId="5" borderId="45" xfId="0" applyFont="1" applyFill="1" applyBorder="1" applyAlignment="1" applyProtection="1">
      <alignment horizontal="centerContinuous"/>
      <protection locked="0"/>
    </xf>
    <xf numFmtId="0" fontId="0" fillId="0" borderId="0" xfId="0" applyAlignment="1" applyProtection="1">
      <alignment horizontal="center" vertical="center" wrapText="1"/>
      <protection locked="0"/>
    </xf>
    <xf numFmtId="0" fontId="13" fillId="3" borderId="0" xfId="0" applyFont="1" applyFill="1" applyProtection="1">
      <protection locked="0"/>
    </xf>
    <xf numFmtId="0" fontId="8" fillId="0" borderId="0" xfId="0" applyFont="1" applyAlignment="1" applyProtection="1">
      <alignment horizontal="left" vertical="center" wrapText="1"/>
      <protection locked="0"/>
    </xf>
    <xf numFmtId="0" fontId="3" fillId="0" borderId="0" xfId="0" applyFont="1" applyAlignment="1" applyProtection="1">
      <alignment vertical="center" wrapText="1"/>
      <protection locked="0"/>
    </xf>
    <xf numFmtId="0" fontId="13" fillId="0" borderId="0" xfId="0" applyFont="1" applyProtection="1">
      <protection locked="0"/>
    </xf>
    <xf numFmtId="0" fontId="3" fillId="0" borderId="0" xfId="0" applyFont="1" applyAlignment="1" applyProtection="1">
      <alignment horizontal="center" vertical="center"/>
      <protection locked="0"/>
    </xf>
    <xf numFmtId="0" fontId="3" fillId="3" borderId="0" xfId="0" applyFont="1" applyFill="1" applyAlignment="1" applyProtection="1">
      <alignment horizontal="center" vertical="center"/>
      <protection locked="0"/>
    </xf>
    <xf numFmtId="0" fontId="2" fillId="3" borderId="27" xfId="0" applyFont="1" applyFill="1" applyBorder="1" applyAlignment="1" applyProtection="1">
      <alignment vertical="center"/>
      <protection locked="0"/>
    </xf>
    <xf numFmtId="0" fontId="3" fillId="0" borderId="34" xfId="0" applyFont="1" applyBorder="1" applyAlignment="1" applyProtection="1">
      <alignment horizontal="left" wrapText="1"/>
      <protection locked="0"/>
    </xf>
    <xf numFmtId="0" fontId="0" fillId="2" borderId="40" xfId="0" applyFill="1" applyBorder="1" applyAlignment="1" applyProtection="1">
      <alignment horizontal="center"/>
      <protection locked="0"/>
    </xf>
    <xf numFmtId="9" fontId="0" fillId="3" borderId="0" xfId="2" applyFont="1" applyFill="1" applyProtection="1">
      <protection locked="0"/>
    </xf>
    <xf numFmtId="0" fontId="3" fillId="0" borderId="0" xfId="0" applyFont="1" applyAlignment="1" applyProtection="1">
      <alignment wrapText="1"/>
      <protection locked="0"/>
    </xf>
    <xf numFmtId="0" fontId="3" fillId="0" borderId="26" xfId="0" applyFont="1" applyBorder="1" applyAlignment="1" applyProtection="1">
      <alignment horizontal="left" wrapText="1"/>
      <protection locked="0"/>
    </xf>
    <xf numFmtId="9" fontId="0" fillId="2" borderId="27" xfId="2" applyFont="1" applyFill="1" applyBorder="1" applyAlignment="1" applyProtection="1">
      <alignment horizontal="center"/>
      <protection locked="0"/>
    </xf>
    <xf numFmtId="0" fontId="0" fillId="2" borderId="27" xfId="0" applyFill="1" applyBorder="1" applyAlignment="1" applyProtection="1">
      <alignment horizontal="center"/>
      <protection locked="0"/>
    </xf>
    <xf numFmtId="9" fontId="0" fillId="3" borderId="0" xfId="2" applyFont="1" applyFill="1" applyBorder="1" applyAlignment="1" applyProtection="1">
      <protection locked="0"/>
    </xf>
    <xf numFmtId="0" fontId="3" fillId="0" borderId="26" xfId="0" applyFont="1" applyBorder="1" applyAlignment="1" applyProtection="1">
      <alignment horizontal="left"/>
      <protection locked="0"/>
    </xf>
    <xf numFmtId="164" fontId="0" fillId="0" borderId="0" xfId="1" applyNumberFormat="1" applyFont="1" applyFill="1" applyBorder="1" applyAlignment="1" applyProtection="1">
      <alignment horizontal="center"/>
      <protection locked="0"/>
    </xf>
    <xf numFmtId="169" fontId="3" fillId="0" borderId="0" xfId="1" applyNumberFormat="1" applyFont="1" applyFill="1" applyBorder="1" applyProtection="1">
      <protection locked="0"/>
    </xf>
    <xf numFmtId="16" fontId="3" fillId="0" borderId="26" xfId="0" quotePrefix="1" applyNumberFormat="1" applyFont="1" applyBorder="1" applyAlignment="1" applyProtection="1">
      <alignment horizontal="left"/>
      <protection locked="0"/>
    </xf>
    <xf numFmtId="0" fontId="3" fillId="0" borderId="25" xfId="0" applyFont="1" applyBorder="1" applyAlignment="1" applyProtection="1">
      <alignment horizontal="left" wrapText="1"/>
      <protection locked="0"/>
    </xf>
    <xf numFmtId="166" fontId="0" fillId="2" borderId="20" xfId="2" applyNumberFormat="1" applyFont="1" applyFill="1" applyBorder="1" applyAlignment="1" applyProtection="1">
      <alignment horizontal="center"/>
      <protection locked="0"/>
    </xf>
    <xf numFmtId="0" fontId="2" fillId="3" borderId="10" xfId="0" applyFont="1" applyFill="1" applyBorder="1" applyAlignment="1" applyProtection="1">
      <alignment horizontal="center" wrapText="1"/>
      <protection locked="0"/>
    </xf>
    <xf numFmtId="0" fontId="3" fillId="0" borderId="25" xfId="0" applyFont="1" applyBorder="1" applyAlignment="1" applyProtection="1">
      <alignment horizontal="left"/>
      <protection locked="0"/>
    </xf>
    <xf numFmtId="9" fontId="0" fillId="2" borderId="20" xfId="2" applyFont="1" applyFill="1" applyBorder="1" applyAlignment="1" applyProtection="1">
      <alignment horizontal="center"/>
      <protection locked="0"/>
    </xf>
    <xf numFmtId="0" fontId="3" fillId="0" borderId="26" xfId="0" applyFont="1" applyBorder="1" applyAlignment="1" applyProtection="1">
      <alignment horizontal="left" vertical="center" wrapText="1"/>
      <protection locked="0"/>
    </xf>
    <xf numFmtId="0" fontId="3" fillId="0" borderId="0" xfId="0" applyFont="1" applyAlignment="1" applyProtection="1">
      <alignment horizontal="center"/>
      <protection locked="0"/>
    </xf>
    <xf numFmtId="0" fontId="0" fillId="0" borderId="26" xfId="0" applyBorder="1" applyProtection="1">
      <protection locked="0"/>
    </xf>
    <xf numFmtId="0" fontId="3" fillId="0" borderId="44" xfId="0" applyFont="1" applyBorder="1" applyAlignment="1" applyProtection="1">
      <alignment horizontal="center"/>
      <protection locked="0"/>
    </xf>
    <xf numFmtId="169" fontId="3" fillId="0" borderId="15" xfId="1" applyNumberFormat="1" applyFont="1" applyFill="1" applyBorder="1" applyAlignment="1" applyProtection="1">
      <alignment horizontal="center"/>
      <protection locked="0"/>
    </xf>
    <xf numFmtId="9" fontId="3" fillId="0" borderId="27" xfId="2" applyFont="1" applyFill="1" applyBorder="1" applyAlignment="1" applyProtection="1">
      <alignment horizontal="center"/>
      <protection locked="0"/>
    </xf>
    <xf numFmtId="0" fontId="3" fillId="0" borderId="26" xfId="0" applyFont="1" applyBorder="1" applyAlignment="1" applyProtection="1">
      <alignment horizontal="left" vertical="center"/>
      <protection locked="0"/>
    </xf>
    <xf numFmtId="9" fontId="0" fillId="2" borderId="44" xfId="2" applyFont="1" applyFill="1" applyBorder="1" applyAlignment="1" applyProtection="1">
      <alignment horizontal="center"/>
      <protection locked="0"/>
    </xf>
    <xf numFmtId="0" fontId="0" fillId="3" borderId="15" xfId="0" applyFill="1" applyBorder="1" applyProtection="1">
      <protection locked="0"/>
    </xf>
    <xf numFmtId="0" fontId="0" fillId="3" borderId="27" xfId="0" applyFill="1" applyBorder="1" applyProtection="1">
      <protection locked="0"/>
    </xf>
    <xf numFmtId="16" fontId="3" fillId="0" borderId="26" xfId="0" quotePrefix="1" applyNumberFormat="1" applyFont="1" applyBorder="1" applyAlignment="1" applyProtection="1">
      <alignment horizontal="left" vertical="center"/>
      <protection locked="0"/>
    </xf>
    <xf numFmtId="169" fontId="0" fillId="2" borderId="15" xfId="1" applyNumberFormat="1" applyFont="1" applyFill="1" applyBorder="1" applyAlignment="1" applyProtection="1">
      <alignment horizontal="center"/>
      <protection locked="0"/>
    </xf>
    <xf numFmtId="169" fontId="0" fillId="2" borderId="27" xfId="1" applyNumberFormat="1" applyFont="1" applyFill="1" applyBorder="1" applyAlignment="1" applyProtection="1">
      <alignment horizontal="center"/>
      <protection locked="0"/>
    </xf>
    <xf numFmtId="0" fontId="3" fillId="0" borderId="25" xfId="0" applyFont="1" applyBorder="1" applyAlignment="1" applyProtection="1">
      <alignment horizontal="left" vertical="center" wrapText="1"/>
      <protection locked="0"/>
    </xf>
    <xf numFmtId="9" fontId="0" fillId="2" borderId="59" xfId="2" applyFont="1" applyFill="1" applyBorder="1" applyAlignment="1" applyProtection="1">
      <alignment horizontal="center"/>
      <protection locked="0"/>
    </xf>
    <xf numFmtId="169" fontId="0" fillId="2" borderId="19" xfId="1" applyNumberFormat="1" applyFont="1" applyFill="1" applyBorder="1" applyAlignment="1" applyProtection="1">
      <alignment horizontal="center"/>
      <protection locked="0"/>
    </xf>
    <xf numFmtId="169" fontId="0" fillId="2" borderId="20" xfId="1" applyNumberFormat="1" applyFont="1" applyFill="1" applyBorder="1" applyAlignment="1" applyProtection="1">
      <alignment horizontal="center"/>
      <protection locked="0"/>
    </xf>
    <xf numFmtId="0" fontId="12" fillId="0" borderId="0" xfId="0" applyFont="1" applyProtection="1">
      <protection locked="0"/>
    </xf>
    <xf numFmtId="0" fontId="3" fillId="0" borderId="0" xfId="0" applyFont="1" applyAlignment="1" applyProtection="1">
      <alignment horizontal="center" vertical="center" wrapText="1"/>
      <protection locked="0"/>
    </xf>
    <xf numFmtId="0" fontId="3" fillId="0" borderId="15" xfId="0" applyFont="1" applyBorder="1" applyAlignment="1" applyProtection="1">
      <alignment horizontal="center"/>
      <protection locked="0"/>
    </xf>
    <xf numFmtId="0" fontId="3" fillId="0" borderId="27" xfId="0" applyFont="1" applyBorder="1" applyAlignment="1" applyProtection="1">
      <alignment horizontal="center"/>
      <protection locked="0"/>
    </xf>
    <xf numFmtId="0" fontId="2" fillId="3" borderId="10" xfId="0" applyFont="1" applyFill="1" applyBorder="1" applyAlignment="1" applyProtection="1">
      <alignment horizontal="center" vertical="center" wrapText="1"/>
      <protection locked="0"/>
    </xf>
    <xf numFmtId="169" fontId="0" fillId="2" borderId="27" xfId="0" applyNumberFormat="1" applyFill="1" applyBorder="1" applyAlignment="1" applyProtection="1">
      <alignment horizontal="center"/>
      <protection locked="0"/>
    </xf>
    <xf numFmtId="0" fontId="3" fillId="0" borderId="42" xfId="0" applyFont="1" applyBorder="1" applyAlignment="1" applyProtection="1">
      <alignment horizontal="left" vertical="center" wrapText="1"/>
      <protection locked="0"/>
    </xf>
    <xf numFmtId="0" fontId="8" fillId="29" borderId="15" xfId="0" applyFont="1" applyFill="1" applyBorder="1" applyAlignment="1" applyProtection="1">
      <alignment horizontal="center" vertical="center"/>
      <protection locked="0"/>
    </xf>
    <xf numFmtId="0" fontId="8" fillId="29" borderId="27" xfId="0" applyFont="1" applyFill="1" applyBorder="1" applyAlignment="1" applyProtection="1">
      <alignment horizontal="center" vertical="center"/>
      <protection locked="0"/>
    </xf>
    <xf numFmtId="9" fontId="3" fillId="0" borderId="25" xfId="2" applyFont="1" applyFill="1" applyBorder="1" applyAlignment="1" applyProtection="1">
      <alignment horizontal="left" vertical="center" wrapText="1"/>
      <protection locked="0"/>
    </xf>
    <xf numFmtId="9" fontId="0" fillId="2" borderId="19" xfId="2" applyFont="1" applyFill="1" applyBorder="1" applyAlignment="1" applyProtection="1">
      <alignment horizontal="center"/>
      <protection locked="0"/>
    </xf>
    <xf numFmtId="0" fontId="0" fillId="3" borderId="20" xfId="0" applyFill="1" applyBorder="1" applyProtection="1">
      <protection locked="0"/>
    </xf>
    <xf numFmtId="9" fontId="3" fillId="0" borderId="0" xfId="2" applyFont="1" applyFill="1" applyBorder="1" applyAlignment="1" applyProtection="1">
      <alignment horizontal="center" vertical="center" wrapText="1"/>
      <protection locked="0"/>
    </xf>
    <xf numFmtId="0" fontId="0" fillId="3" borderId="15" xfId="0" applyFill="1" applyBorder="1" applyAlignment="1" applyProtection="1">
      <alignment wrapText="1"/>
      <protection locked="0"/>
    </xf>
    <xf numFmtId="16" fontId="3" fillId="0" borderId="26" xfId="0" quotePrefix="1" applyNumberFormat="1" applyFont="1" applyBorder="1" applyAlignment="1" applyProtection="1">
      <alignment horizontal="left" vertical="center" wrapText="1"/>
      <protection locked="0"/>
    </xf>
    <xf numFmtId="0" fontId="0" fillId="3" borderId="19" xfId="0" applyFill="1" applyBorder="1" applyAlignment="1" applyProtection="1">
      <alignment wrapText="1"/>
      <protection locked="0"/>
    </xf>
    <xf numFmtId="0" fontId="2" fillId="3" borderId="15" xfId="0" applyFont="1" applyFill="1" applyBorder="1" applyAlignment="1" applyProtection="1">
      <alignment horizontal="center" vertical="center" wrapText="1"/>
      <protection locked="0"/>
    </xf>
    <xf numFmtId="0" fontId="3" fillId="0" borderId="35" xfId="0" applyFont="1" applyBorder="1" applyProtection="1">
      <protection locked="0"/>
    </xf>
    <xf numFmtId="9" fontId="3" fillId="0" borderId="15" xfId="2" applyFont="1" applyFill="1" applyBorder="1" applyAlignment="1" applyProtection="1">
      <alignment horizontal="center"/>
      <protection locked="0"/>
    </xf>
    <xf numFmtId="0" fontId="0" fillId="2" borderId="35" xfId="0" applyFill="1" applyBorder="1" applyAlignment="1" applyProtection="1">
      <alignment horizontal="center"/>
      <protection locked="0"/>
    </xf>
    <xf numFmtId="9" fontId="0" fillId="2" borderId="28" xfId="2" applyFont="1" applyFill="1" applyBorder="1" applyAlignment="1" applyProtection="1">
      <alignment horizontal="center"/>
      <protection locked="0"/>
    </xf>
    <xf numFmtId="16" fontId="0" fillId="2" borderId="35" xfId="0" quotePrefix="1" applyNumberFormat="1" applyFill="1" applyBorder="1" applyAlignment="1" applyProtection="1">
      <alignment horizontal="center"/>
      <protection locked="0"/>
    </xf>
    <xf numFmtId="9" fontId="0" fillId="2" borderId="15" xfId="2" applyFont="1" applyFill="1" applyBorder="1" applyAlignment="1" applyProtection="1">
      <alignment horizontal="center"/>
      <protection locked="0"/>
    </xf>
    <xf numFmtId="0" fontId="3" fillId="3" borderId="0" xfId="0" applyFont="1" applyFill="1" applyAlignment="1" applyProtection="1">
      <alignment vertical="center"/>
      <protection locked="0"/>
    </xf>
    <xf numFmtId="0" fontId="0" fillId="2" borderId="35" xfId="0" applyFill="1" applyBorder="1" applyAlignment="1" applyProtection="1">
      <alignment horizontal="center" wrapText="1"/>
      <protection locked="0"/>
    </xf>
    <xf numFmtId="9" fontId="0" fillId="2" borderId="35" xfId="2" applyFont="1" applyFill="1" applyBorder="1" applyAlignment="1" applyProtection="1">
      <alignment horizontal="center"/>
      <protection locked="0"/>
    </xf>
    <xf numFmtId="0" fontId="0" fillId="2" borderId="26" xfId="0" applyFill="1" applyBorder="1" applyAlignment="1" applyProtection="1">
      <alignment horizontal="center"/>
      <protection locked="0"/>
    </xf>
    <xf numFmtId="0" fontId="0" fillId="2" borderId="25" xfId="0" applyFill="1" applyBorder="1" applyAlignment="1" applyProtection="1">
      <alignment horizontal="center"/>
      <protection locked="0"/>
    </xf>
    <xf numFmtId="9" fontId="0" fillId="0" borderId="0" xfId="2" applyFont="1" applyFill="1" applyBorder="1" applyAlignment="1" applyProtection="1">
      <alignment horizontal="center"/>
      <protection locked="0"/>
    </xf>
    <xf numFmtId="0" fontId="2" fillId="0" borderId="26" xfId="0" applyFont="1" applyBorder="1" applyAlignment="1" applyProtection="1">
      <alignment horizontal="center" vertical="center" wrapText="1"/>
      <protection locked="0"/>
    </xf>
    <xf numFmtId="0" fontId="3" fillId="0" borderId="15" xfId="0" applyFont="1" applyBorder="1" applyAlignment="1" applyProtection="1">
      <alignment horizontal="center" wrapText="1"/>
      <protection locked="0"/>
    </xf>
    <xf numFmtId="0" fontId="3" fillId="0" borderId="25" xfId="0" applyFont="1" applyBorder="1" applyAlignment="1" applyProtection="1">
      <alignment wrapText="1"/>
      <protection locked="0"/>
    </xf>
    <xf numFmtId="0" fontId="0" fillId="2" borderId="19" xfId="0" applyFill="1" applyBorder="1" applyAlignment="1" applyProtection="1">
      <alignment horizontal="center"/>
      <protection locked="0"/>
    </xf>
    <xf numFmtId="0" fontId="0" fillId="2" borderId="20" xfId="0" applyFill="1" applyBorder="1" applyAlignment="1" applyProtection="1">
      <alignment horizontal="center"/>
      <protection locked="0"/>
    </xf>
    <xf numFmtId="0" fontId="3" fillId="3" borderId="0" xfId="0" applyFont="1" applyFill="1" applyAlignment="1" applyProtection="1">
      <alignment wrapText="1"/>
      <protection locked="0"/>
    </xf>
    <xf numFmtId="0" fontId="0" fillId="0" borderId="0" xfId="0" applyAlignment="1" applyProtection="1">
      <alignment vertical="center" wrapText="1"/>
      <protection locked="0"/>
    </xf>
    <xf numFmtId="9" fontId="0" fillId="0" borderId="0" xfId="2" applyFont="1" applyFill="1" applyBorder="1" applyProtection="1">
      <protection locked="0"/>
    </xf>
    <xf numFmtId="0" fontId="3" fillId="0" borderId="42" xfId="0" applyFont="1" applyBorder="1" applyAlignment="1" applyProtection="1">
      <alignment horizontal="center" vertical="top" wrapText="1"/>
      <protection locked="0"/>
    </xf>
    <xf numFmtId="0" fontId="3" fillId="0" borderId="15" xfId="0" applyFont="1" applyBorder="1" applyAlignment="1" applyProtection="1">
      <alignment horizontal="center" vertical="center" wrapText="1"/>
      <protection locked="0"/>
    </xf>
    <xf numFmtId="9" fontId="0" fillId="2" borderId="37" xfId="2" applyFont="1" applyFill="1" applyBorder="1" applyAlignment="1" applyProtection="1">
      <alignment horizontal="center"/>
      <protection locked="0"/>
    </xf>
    <xf numFmtId="9" fontId="1" fillId="2" borderId="27" xfId="2" applyFont="1" applyFill="1" applyBorder="1" applyAlignment="1" applyProtection="1">
      <alignment horizontal="center" wrapText="1"/>
      <protection locked="0"/>
    </xf>
    <xf numFmtId="169" fontId="0" fillId="2" borderId="38" xfId="1" applyNumberFormat="1" applyFont="1" applyFill="1" applyBorder="1" applyAlignment="1" applyProtection="1">
      <alignment horizontal="center"/>
      <protection locked="0"/>
    </xf>
    <xf numFmtId="169" fontId="0" fillId="2" borderId="40" xfId="1" applyNumberFormat="1" applyFont="1" applyFill="1" applyBorder="1" applyAlignment="1" applyProtection="1">
      <alignment horizontal="center"/>
      <protection locked="0"/>
    </xf>
    <xf numFmtId="169" fontId="0" fillId="0" borderId="0" xfId="1" applyNumberFormat="1" applyFont="1" applyFill="1" applyBorder="1" applyAlignment="1" applyProtection="1">
      <alignment horizontal="center"/>
      <protection locked="0"/>
    </xf>
    <xf numFmtId="0" fontId="3" fillId="0" borderId="0" xfId="0" applyFont="1" applyAlignment="1" applyProtection="1">
      <alignment horizontal="center" wrapText="1"/>
      <protection locked="0"/>
    </xf>
    <xf numFmtId="0" fontId="3" fillId="0" borderId="46" xfId="0" applyFont="1" applyBorder="1" applyAlignment="1" applyProtection="1">
      <alignment horizontal="center" vertical="center" wrapText="1"/>
      <protection locked="0"/>
    </xf>
    <xf numFmtId="0" fontId="3" fillId="0" borderId="26" xfId="0" applyFont="1" applyBorder="1" applyAlignment="1" applyProtection="1">
      <alignment horizontal="center" vertical="center" wrapText="1"/>
      <protection locked="0"/>
    </xf>
    <xf numFmtId="0" fontId="3" fillId="0" borderId="27" xfId="0" applyFont="1" applyBorder="1" applyAlignment="1" applyProtection="1">
      <alignment horizontal="center" vertical="center" wrapText="1"/>
      <protection locked="0"/>
    </xf>
    <xf numFmtId="0" fontId="0" fillId="2" borderId="26" xfId="0" applyFill="1" applyBorder="1" applyAlignment="1" applyProtection="1">
      <alignment horizontal="center" vertical="center"/>
      <protection locked="0"/>
    </xf>
    <xf numFmtId="0" fontId="0" fillId="2" borderId="15" xfId="2" applyNumberFormat="1" applyFont="1" applyFill="1" applyBorder="1" applyAlignment="1" applyProtection="1">
      <alignment horizontal="center"/>
      <protection locked="0"/>
    </xf>
    <xf numFmtId="169" fontId="0" fillId="2" borderId="15" xfId="2" applyNumberFormat="1" applyFont="1" applyFill="1" applyBorder="1" applyAlignment="1" applyProtection="1">
      <alignment horizontal="center"/>
      <protection locked="0"/>
    </xf>
    <xf numFmtId="169" fontId="0" fillId="2" borderId="27" xfId="2" applyNumberFormat="1" applyFont="1" applyFill="1" applyBorder="1" applyAlignment="1" applyProtection="1">
      <alignment horizontal="center"/>
      <protection locked="0"/>
    </xf>
    <xf numFmtId="0" fontId="0" fillId="2" borderId="25" xfId="0" applyFill="1" applyBorder="1" applyAlignment="1" applyProtection="1">
      <alignment horizontal="center" wrapText="1"/>
      <protection locked="0"/>
    </xf>
    <xf numFmtId="0" fontId="0" fillId="2" borderId="19" xfId="2" applyNumberFormat="1" applyFont="1" applyFill="1" applyBorder="1" applyAlignment="1" applyProtection="1">
      <alignment horizontal="center"/>
      <protection locked="0"/>
    </xf>
    <xf numFmtId="0" fontId="0" fillId="0" borderId="10" xfId="0" applyBorder="1" applyProtection="1">
      <protection locked="0"/>
    </xf>
    <xf numFmtId="0" fontId="3" fillId="0" borderId="26" xfId="0" applyFont="1" applyBorder="1" applyProtection="1">
      <protection locked="0"/>
    </xf>
    <xf numFmtId="9" fontId="0" fillId="2" borderId="27" xfId="2" applyFont="1" applyFill="1" applyBorder="1" applyAlignment="1" applyProtection="1">
      <alignment horizontal="center" vertical="center"/>
      <protection locked="0"/>
    </xf>
    <xf numFmtId="0" fontId="2" fillId="0" borderId="0" xfId="0" applyFont="1" applyAlignment="1" applyProtection="1">
      <alignment vertical="center" wrapText="1"/>
      <protection locked="0"/>
    </xf>
    <xf numFmtId="0" fontId="0" fillId="0" borderId="0" xfId="0" applyAlignment="1" applyProtection="1">
      <alignment horizontal="left" vertical="top" wrapText="1"/>
      <protection locked="0"/>
    </xf>
    <xf numFmtId="169" fontId="0" fillId="14" borderId="20" xfId="0" applyNumberFormat="1" applyFill="1" applyBorder="1"/>
    <xf numFmtId="9" fontId="0" fillId="14" borderId="15" xfId="0" applyNumberFormat="1" applyFill="1" applyBorder="1" applyAlignment="1">
      <alignment horizontal="center" vertical="center" wrapText="1"/>
    </xf>
    <xf numFmtId="169" fontId="0" fillId="14" borderId="15" xfId="0" applyNumberFormat="1" applyFill="1" applyBorder="1" applyAlignment="1">
      <alignment horizontal="center" vertical="center"/>
    </xf>
    <xf numFmtId="9" fontId="0" fillId="14" borderId="15" xfId="0" applyNumberFormat="1" applyFill="1" applyBorder="1" applyAlignment="1">
      <alignment horizontal="center" vertical="center"/>
    </xf>
    <xf numFmtId="169" fontId="0" fillId="14" borderId="27" xfId="0" applyNumberFormat="1" applyFill="1" applyBorder="1" applyAlignment="1">
      <alignment horizontal="center" vertical="center"/>
    </xf>
    <xf numFmtId="9" fontId="0" fillId="14" borderId="19" xfId="2" applyFont="1" applyFill="1" applyBorder="1" applyAlignment="1" applyProtection="1">
      <alignment horizontal="center" vertical="center" wrapText="1"/>
    </xf>
    <xf numFmtId="169" fontId="0" fillId="14" borderId="19" xfId="0" applyNumberFormat="1" applyFill="1" applyBorder="1" applyAlignment="1">
      <alignment horizontal="center" vertical="center"/>
    </xf>
    <xf numFmtId="9" fontId="0" fillId="14" borderId="19" xfId="2" applyFont="1" applyFill="1" applyBorder="1" applyAlignment="1" applyProtection="1">
      <alignment horizontal="center" vertical="center"/>
    </xf>
    <xf numFmtId="169" fontId="0" fillId="14" borderId="20" xfId="0" applyNumberFormat="1" applyFill="1" applyBorder="1" applyAlignment="1">
      <alignment horizontal="center" vertical="center"/>
    </xf>
    <xf numFmtId="0" fontId="3" fillId="0" borderId="0" xfId="0" applyFont="1" applyAlignment="1">
      <alignment vertical="center" wrapText="1"/>
    </xf>
    <xf numFmtId="164" fontId="0" fillId="0" borderId="0" xfId="1" applyNumberFormat="1" applyFont="1" applyProtection="1">
      <protection locked="0"/>
    </xf>
    <xf numFmtId="0" fontId="33" fillId="30" borderId="41" xfId="0" applyFont="1" applyFill="1" applyBorder="1" applyAlignment="1" applyProtection="1">
      <alignment horizontal="centerContinuous" vertical="center"/>
      <protection locked="0"/>
    </xf>
    <xf numFmtId="0" fontId="33" fillId="30" borderId="63" xfId="0" applyFont="1" applyFill="1" applyBorder="1" applyAlignment="1" applyProtection="1">
      <alignment horizontal="centerContinuous" vertical="center"/>
      <protection locked="0"/>
    </xf>
    <xf numFmtId="0" fontId="16" fillId="0" borderId="0" xfId="0" applyFont="1" applyProtection="1">
      <protection locked="0"/>
    </xf>
    <xf numFmtId="0" fontId="28" fillId="0" borderId="0" xfId="0" applyFont="1" applyAlignment="1" applyProtection="1">
      <alignment horizontal="left" vertical="top" wrapText="1"/>
      <protection locked="0"/>
    </xf>
    <xf numFmtId="0" fontId="0" fillId="0" borderId="46" xfId="0" applyBorder="1" applyProtection="1">
      <protection locked="0"/>
    </xf>
    <xf numFmtId="0" fontId="3" fillId="0" borderId="28" xfId="0" applyFont="1" applyBorder="1" applyAlignment="1" applyProtection="1">
      <alignment horizontal="center"/>
      <protection locked="0"/>
    </xf>
    <xf numFmtId="164" fontId="3" fillId="0" borderId="29" xfId="1" applyNumberFormat="1" applyFont="1" applyBorder="1" applyAlignment="1" applyProtection="1">
      <alignment horizontal="center"/>
      <protection locked="0"/>
    </xf>
    <xf numFmtId="0" fontId="3" fillId="0" borderId="3" xfId="0" applyFont="1" applyBorder="1" applyAlignment="1" applyProtection="1">
      <alignment horizontal="center" wrapText="1"/>
      <protection locked="0"/>
    </xf>
    <xf numFmtId="0" fontId="3" fillId="0" borderId="3" xfId="0" applyFont="1" applyBorder="1" applyProtection="1">
      <protection locked="0"/>
    </xf>
    <xf numFmtId="164" fontId="3" fillId="0" borderId="8" xfId="1" applyNumberFormat="1" applyFont="1" applyBorder="1" applyAlignment="1" applyProtection="1">
      <alignment horizontal="center" wrapText="1"/>
      <protection locked="0"/>
    </xf>
    <xf numFmtId="164" fontId="3" fillId="0" borderId="4" xfId="1" applyNumberFormat="1" applyFont="1" applyFill="1" applyBorder="1" applyAlignment="1" applyProtection="1">
      <alignment horizontal="center" wrapText="1"/>
      <protection locked="0"/>
    </xf>
    <xf numFmtId="0" fontId="3" fillId="0" borderId="10" xfId="0" applyFont="1" applyBorder="1" applyProtection="1">
      <protection locked="0"/>
    </xf>
    <xf numFmtId="0" fontId="3" fillId="0" borderId="11" xfId="0" applyFont="1" applyBorder="1" applyAlignment="1" applyProtection="1">
      <alignment horizontal="center"/>
      <protection locked="0"/>
    </xf>
    <xf numFmtId="0" fontId="3" fillId="0" borderId="25" xfId="0" applyFont="1" applyBorder="1" applyProtection="1">
      <protection locked="0"/>
    </xf>
    <xf numFmtId="169" fontId="0" fillId="2" borderId="72" xfId="1" applyNumberFormat="1" applyFont="1" applyFill="1" applyBorder="1" applyAlignment="1" applyProtection="1">
      <alignment horizontal="center"/>
      <protection locked="0"/>
    </xf>
    <xf numFmtId="169" fontId="0" fillId="2" borderId="40" xfId="1" applyNumberFormat="1" applyFont="1" applyFill="1" applyBorder="1" applyAlignment="1" applyProtection="1">
      <alignment horizontal="center" wrapText="1"/>
      <protection locked="0"/>
    </xf>
    <xf numFmtId="164" fontId="3" fillId="0" borderId="4" xfId="1" applyNumberFormat="1" applyFont="1" applyBorder="1" applyAlignment="1" applyProtection="1">
      <alignment wrapText="1"/>
      <protection locked="0"/>
    </xf>
    <xf numFmtId="9" fontId="0" fillId="2" borderId="0" xfId="2" applyFont="1" applyFill="1" applyBorder="1" applyAlignment="1" applyProtection="1">
      <alignment horizontal="center"/>
      <protection locked="0"/>
    </xf>
    <xf numFmtId="9" fontId="0" fillId="2" borderId="11" xfId="2" applyFont="1" applyFill="1" applyBorder="1" applyAlignment="1" applyProtection="1">
      <alignment horizontal="center"/>
      <protection locked="0"/>
    </xf>
    <xf numFmtId="169" fontId="0" fillId="0" borderId="0" xfId="0" applyNumberFormat="1" applyAlignment="1" applyProtection="1">
      <alignment horizontal="center"/>
      <protection locked="0"/>
    </xf>
    <xf numFmtId="169" fontId="0" fillId="0" borderId="0" xfId="0" applyNumberFormat="1" applyProtection="1">
      <protection locked="0"/>
    </xf>
    <xf numFmtId="0" fontId="3" fillId="0" borderId="5" xfId="0" applyFont="1" applyBorder="1" applyProtection="1">
      <protection locked="0"/>
    </xf>
    <xf numFmtId="9" fontId="0" fillId="2" borderId="9" xfId="2" applyFont="1" applyFill="1" applyBorder="1" applyAlignment="1" applyProtection="1">
      <alignment horizontal="center"/>
      <protection locked="0"/>
    </xf>
    <xf numFmtId="9" fontId="0" fillId="2" borderId="6" xfId="2" applyFont="1" applyFill="1" applyBorder="1" applyAlignment="1" applyProtection="1">
      <alignment horizontal="center"/>
      <protection locked="0"/>
    </xf>
    <xf numFmtId="0" fontId="38" fillId="0" borderId="5" xfId="0" applyFont="1" applyBorder="1" applyAlignment="1" applyProtection="1">
      <alignment vertical="top" wrapText="1"/>
      <protection locked="0"/>
    </xf>
    <xf numFmtId="0" fontId="3" fillId="0" borderId="15" xfId="0" applyFont="1" applyBorder="1" applyAlignment="1" applyProtection="1">
      <alignment horizontal="left" vertical="center" wrapText="1"/>
      <protection locked="0"/>
    </xf>
    <xf numFmtId="164" fontId="0" fillId="0" borderId="0" xfId="1" applyNumberFormat="1" applyFont="1" applyBorder="1" applyAlignment="1" applyProtection="1">
      <alignment vertical="center" wrapText="1"/>
      <protection locked="0"/>
    </xf>
    <xf numFmtId="164" fontId="3" fillId="0" borderId="3" xfId="1" applyNumberFormat="1" applyFont="1" applyFill="1" applyBorder="1" applyAlignment="1" applyProtection="1">
      <alignment horizontal="center" wrapText="1"/>
      <protection locked="0"/>
    </xf>
    <xf numFmtId="164" fontId="3" fillId="0" borderId="8" xfId="1" applyNumberFormat="1" applyFont="1" applyFill="1" applyBorder="1" applyAlignment="1" applyProtection="1">
      <alignment horizontal="center" wrapText="1"/>
      <protection locked="0"/>
    </xf>
    <xf numFmtId="169" fontId="0" fillId="2" borderId="0" xfId="1" applyNumberFormat="1" applyFont="1" applyFill="1" applyBorder="1" applyAlignment="1" applyProtection="1">
      <alignment horizontal="center"/>
      <protection locked="0"/>
    </xf>
    <xf numFmtId="169" fontId="0" fillId="2" borderId="11" xfId="1" applyNumberFormat="1" applyFont="1" applyFill="1" applyBorder="1" applyAlignment="1" applyProtection="1">
      <alignment horizontal="center"/>
      <protection locked="0"/>
    </xf>
    <xf numFmtId="164" fontId="3" fillId="0" borderId="8" xfId="1" applyNumberFormat="1" applyFont="1" applyBorder="1" applyAlignment="1" applyProtection="1">
      <alignment wrapText="1"/>
      <protection locked="0"/>
    </xf>
    <xf numFmtId="164" fontId="38" fillId="0" borderId="8" xfId="1" applyNumberFormat="1" applyFont="1" applyBorder="1" applyAlignment="1" applyProtection="1">
      <alignment wrapText="1"/>
      <protection locked="0"/>
    </xf>
    <xf numFmtId="0" fontId="38" fillId="0" borderId="4" xfId="0" applyFont="1" applyBorder="1" applyAlignment="1" applyProtection="1">
      <alignment wrapText="1"/>
      <protection locked="0"/>
    </xf>
    <xf numFmtId="169" fontId="0" fillId="2" borderId="9" xfId="1" applyNumberFormat="1" applyFont="1" applyFill="1" applyBorder="1" applyAlignment="1" applyProtection="1">
      <alignment horizontal="center"/>
      <protection locked="0"/>
    </xf>
    <xf numFmtId="169" fontId="0" fillId="2" borderId="6" xfId="1" applyNumberFormat="1" applyFont="1" applyFill="1" applyBorder="1" applyAlignment="1" applyProtection="1">
      <alignment horizontal="center"/>
      <protection locked="0"/>
    </xf>
    <xf numFmtId="0" fontId="3" fillId="0" borderId="10" xfId="0" applyFont="1" applyBorder="1" applyAlignment="1" applyProtection="1">
      <alignment horizontal="right"/>
      <protection locked="0"/>
    </xf>
    <xf numFmtId="0" fontId="0" fillId="2" borderId="0" xfId="1" applyNumberFormat="1" applyFont="1" applyFill="1" applyBorder="1" applyAlignment="1" applyProtection="1">
      <alignment horizontal="center"/>
      <protection locked="0"/>
    </xf>
    <xf numFmtId="169" fontId="0" fillId="14" borderId="0" xfId="1" applyNumberFormat="1" applyFont="1" applyFill="1" applyBorder="1" applyAlignment="1" applyProtection="1">
      <alignment horizontal="center"/>
      <protection locked="0"/>
    </xf>
    <xf numFmtId="0" fontId="0" fillId="3" borderId="11" xfId="2" applyNumberFormat="1" applyFont="1" applyFill="1" applyBorder="1" applyAlignment="1" applyProtection="1">
      <alignment horizontal="center"/>
      <protection locked="0"/>
    </xf>
    <xf numFmtId="170" fontId="0" fillId="2" borderId="11" xfId="2" applyNumberFormat="1" applyFont="1" applyFill="1" applyBorder="1" applyAlignment="1" applyProtection="1">
      <alignment horizontal="center"/>
      <protection locked="0"/>
    </xf>
    <xf numFmtId="0" fontId="0" fillId="0" borderId="21" xfId="0" applyBorder="1" applyProtection="1">
      <protection locked="0"/>
    </xf>
    <xf numFmtId="0" fontId="0" fillId="0" borderId="7" xfId="0" applyBorder="1" applyProtection="1">
      <protection locked="0"/>
    </xf>
    <xf numFmtId="0" fontId="0" fillId="0" borderId="2" xfId="0" applyBorder="1" applyProtection="1">
      <protection locked="0"/>
    </xf>
    <xf numFmtId="166" fontId="0" fillId="2" borderId="2" xfId="2" applyNumberFormat="1" applyFont="1" applyFill="1" applyBorder="1" applyAlignment="1" applyProtection="1">
      <alignment horizontal="center"/>
      <protection locked="0"/>
    </xf>
    <xf numFmtId="0" fontId="3" fillId="0" borderId="37" xfId="0" applyFont="1" applyBorder="1" applyAlignment="1" applyProtection="1">
      <alignment horizontal="left" vertical="center" wrapText="1"/>
      <protection locked="0"/>
    </xf>
    <xf numFmtId="0" fontId="8" fillId="33" borderId="15" xfId="0" applyFont="1" applyFill="1" applyBorder="1" applyAlignment="1" applyProtection="1">
      <alignment horizontal="center" vertical="center"/>
      <protection locked="0"/>
    </xf>
    <xf numFmtId="0" fontId="3" fillId="0" borderId="0" xfId="0" applyFont="1" applyProtection="1">
      <protection locked="0"/>
    </xf>
    <xf numFmtId="0" fontId="3" fillId="0" borderId="5" xfId="0" applyFont="1" applyBorder="1" applyAlignment="1" applyProtection="1">
      <alignment horizontal="right"/>
      <protection locked="0"/>
    </xf>
    <xf numFmtId="0" fontId="0" fillId="2" borderId="9" xfId="1" applyNumberFormat="1" applyFont="1" applyFill="1" applyBorder="1" applyAlignment="1" applyProtection="1">
      <alignment horizontal="center"/>
      <protection locked="0"/>
    </xf>
    <xf numFmtId="170" fontId="0" fillId="2" borderId="6" xfId="2" applyNumberFormat="1" applyFont="1" applyFill="1" applyBorder="1" applyAlignment="1" applyProtection="1">
      <alignment horizontal="center"/>
      <protection locked="0"/>
    </xf>
    <xf numFmtId="0" fontId="0" fillId="0" borderId="0" xfId="1" applyNumberFormat="1" applyFont="1" applyFill="1" applyBorder="1" applyProtection="1">
      <protection locked="0"/>
    </xf>
    <xf numFmtId="169" fontId="0" fillId="0" borderId="0" xfId="1" applyNumberFormat="1" applyFont="1" applyFill="1" applyBorder="1" applyProtection="1">
      <protection locked="0"/>
    </xf>
    <xf numFmtId="170" fontId="0" fillId="0" borderId="0" xfId="2" applyNumberFormat="1" applyFont="1" applyFill="1" applyBorder="1" applyProtection="1">
      <protection locked="0"/>
    </xf>
    <xf numFmtId="0" fontId="8" fillId="0" borderId="66" xfId="0" applyFont="1" applyBorder="1" applyProtection="1">
      <protection locked="0"/>
    </xf>
    <xf numFmtId="164" fontId="0" fillId="0" borderId="67" xfId="1" applyNumberFormat="1" applyFont="1" applyBorder="1" applyProtection="1">
      <protection locked="0"/>
    </xf>
    <xf numFmtId="0" fontId="0" fillId="0" borderId="67" xfId="0" applyBorder="1" applyProtection="1">
      <protection locked="0"/>
    </xf>
    <xf numFmtId="0" fontId="8" fillId="0" borderId="43" xfId="0" applyFont="1" applyBorder="1" applyProtection="1">
      <protection locked="0"/>
    </xf>
    <xf numFmtId="164" fontId="0" fillId="0" borderId="59" xfId="1" applyNumberFormat="1" applyFont="1" applyBorder="1" applyProtection="1">
      <protection locked="0"/>
    </xf>
    <xf numFmtId="0" fontId="0" fillId="0" borderId="59" xfId="0" applyBorder="1" applyProtection="1">
      <protection locked="0"/>
    </xf>
    <xf numFmtId="164" fontId="0" fillId="0" borderId="0" xfId="0" applyNumberFormat="1" applyProtection="1">
      <protection locked="0"/>
    </xf>
    <xf numFmtId="164" fontId="3" fillId="0" borderId="0" xfId="1" applyNumberFormat="1" applyFont="1" applyFill="1" applyBorder="1" applyAlignment="1" applyProtection="1">
      <alignment wrapText="1"/>
      <protection locked="0"/>
    </xf>
    <xf numFmtId="164" fontId="3" fillId="0" borderId="55" xfId="1" applyNumberFormat="1" applyFont="1" applyBorder="1" applyAlignment="1" applyProtection="1">
      <alignment vertical="center" wrapText="1"/>
      <protection locked="0"/>
    </xf>
    <xf numFmtId="0" fontId="0" fillId="2" borderId="74" xfId="1" applyNumberFormat="1" applyFont="1" applyFill="1" applyBorder="1" applyAlignment="1" applyProtection="1">
      <alignment horizontal="center"/>
      <protection locked="0"/>
    </xf>
    <xf numFmtId="164" fontId="0" fillId="3" borderId="0" xfId="1" applyNumberFormat="1" applyFont="1" applyFill="1" applyBorder="1" applyAlignment="1" applyProtection="1">
      <alignment horizontal="center"/>
      <protection locked="0"/>
    </xf>
    <xf numFmtId="164" fontId="0" fillId="3" borderId="11" xfId="1" applyNumberFormat="1" applyFont="1" applyFill="1" applyBorder="1" applyAlignment="1" applyProtection="1">
      <alignment horizontal="center"/>
      <protection locked="0"/>
    </xf>
    <xf numFmtId="0" fontId="2" fillId="0" borderId="0" xfId="0" applyFont="1" applyProtection="1">
      <protection locked="0"/>
    </xf>
    <xf numFmtId="164" fontId="0" fillId="0" borderId="0" xfId="1" applyNumberFormat="1" applyFont="1" applyFill="1" applyProtection="1">
      <protection locked="0"/>
    </xf>
    <xf numFmtId="164" fontId="3" fillId="0" borderId="55" xfId="1" applyNumberFormat="1" applyFont="1" applyBorder="1" applyProtection="1">
      <protection locked="0"/>
    </xf>
    <xf numFmtId="0" fontId="0" fillId="2" borderId="30" xfId="1" applyNumberFormat="1" applyFont="1" applyFill="1" applyBorder="1" applyAlignment="1" applyProtection="1">
      <alignment horizontal="center"/>
      <protection locked="0"/>
    </xf>
    <xf numFmtId="169" fontId="0" fillId="2" borderId="37" xfId="1" applyNumberFormat="1" applyFont="1" applyFill="1" applyBorder="1" applyAlignment="1" applyProtection="1">
      <alignment horizontal="center"/>
      <protection locked="0"/>
    </xf>
    <xf numFmtId="164" fontId="3" fillId="0" borderId="5" xfId="1" applyNumberFormat="1" applyFont="1" applyBorder="1" applyProtection="1">
      <protection locked="0"/>
    </xf>
    <xf numFmtId="0" fontId="0" fillId="2" borderId="19" xfId="1" applyNumberFormat="1" applyFont="1" applyFill="1" applyBorder="1" applyAlignment="1" applyProtection="1">
      <alignment horizontal="center"/>
      <protection locked="0"/>
    </xf>
    <xf numFmtId="169" fontId="0" fillId="2" borderId="59" xfId="1" applyNumberFormat="1" applyFont="1" applyFill="1" applyBorder="1" applyAlignment="1" applyProtection="1">
      <alignment horizontal="center"/>
      <protection locked="0"/>
    </xf>
    <xf numFmtId="0" fontId="25" fillId="0" borderId="26" xfId="0" applyFont="1" applyBorder="1" applyProtection="1">
      <protection locked="0"/>
    </xf>
    <xf numFmtId="0" fontId="25" fillId="0" borderId="15" xfId="0" applyFont="1" applyBorder="1" applyAlignment="1" applyProtection="1">
      <alignment horizontal="center"/>
      <protection locked="0"/>
    </xf>
    <xf numFmtId="0" fontId="25" fillId="0" borderId="27" xfId="0" applyFont="1" applyBorder="1" applyAlignment="1" applyProtection="1">
      <alignment horizontal="center"/>
      <protection locked="0"/>
    </xf>
    <xf numFmtId="16" fontId="0" fillId="2" borderId="26" xfId="0" quotePrefix="1" applyNumberFormat="1" applyFill="1" applyBorder="1" applyAlignment="1" applyProtection="1">
      <alignment horizontal="center"/>
      <protection locked="0"/>
    </xf>
    <xf numFmtId="0" fontId="0" fillId="2" borderId="26" xfId="0" applyFill="1" applyBorder="1" applyAlignment="1" applyProtection="1">
      <alignment horizontal="center" wrapText="1"/>
      <protection locked="0"/>
    </xf>
    <xf numFmtId="9" fontId="0" fillId="2" borderId="26" xfId="2" applyFont="1" applyFill="1" applyBorder="1" applyAlignment="1" applyProtection="1">
      <alignment horizontal="center"/>
      <protection locked="0"/>
    </xf>
    <xf numFmtId="9" fontId="0" fillId="2" borderId="30" xfId="2" applyFont="1" applyFill="1" applyBorder="1" applyAlignment="1" applyProtection="1">
      <alignment horizontal="center"/>
      <protection locked="0"/>
    </xf>
    <xf numFmtId="169" fontId="0" fillId="2" borderId="30" xfId="1" applyNumberFormat="1" applyFont="1" applyFill="1" applyBorder="1" applyAlignment="1" applyProtection="1">
      <alignment horizontal="center"/>
      <protection locked="0"/>
    </xf>
    <xf numFmtId="169" fontId="0" fillId="2" borderId="31" xfId="1" applyNumberFormat="1" applyFont="1" applyFill="1" applyBorder="1" applyAlignment="1" applyProtection="1">
      <alignment horizontal="center"/>
      <protection locked="0"/>
    </xf>
    <xf numFmtId="9" fontId="0" fillId="2" borderId="19" xfId="1" applyNumberFormat="1" applyFont="1" applyFill="1" applyBorder="1" applyAlignment="1" applyProtection="1">
      <alignment horizontal="center"/>
      <protection locked="0"/>
    </xf>
    <xf numFmtId="169" fontId="0" fillId="2" borderId="19" xfId="0" applyNumberFormat="1" applyFill="1" applyBorder="1" applyAlignment="1" applyProtection="1">
      <alignment horizontal="center"/>
      <protection locked="0"/>
    </xf>
    <xf numFmtId="0" fontId="23" fillId="0" borderId="0" xfId="0" applyFont="1" applyProtection="1">
      <protection locked="0"/>
    </xf>
    <xf numFmtId="0" fontId="12" fillId="0" borderId="0" xfId="0" applyFont="1" applyAlignment="1" applyProtection="1">
      <alignment wrapText="1"/>
      <protection locked="0"/>
    </xf>
    <xf numFmtId="0" fontId="0" fillId="0" borderId="0" xfId="1" applyNumberFormat="1" applyFont="1" applyFill="1" applyBorder="1" applyAlignment="1" applyProtection="1">
      <alignment horizontal="left"/>
      <protection locked="0"/>
    </xf>
    <xf numFmtId="0" fontId="26" fillId="0" borderId="26" xfId="0" applyFont="1" applyBorder="1" applyAlignment="1" applyProtection="1">
      <alignment horizontal="center" vertical="center" wrapText="1"/>
      <protection locked="0"/>
    </xf>
    <xf numFmtId="0" fontId="25" fillId="0" borderId="15" xfId="0" applyFont="1" applyBorder="1" applyAlignment="1" applyProtection="1">
      <alignment horizontal="center" wrapText="1"/>
      <protection locked="0"/>
    </xf>
    <xf numFmtId="0" fontId="25" fillId="0" borderId="25" xfId="0" applyFont="1" applyBorder="1" applyAlignment="1" applyProtection="1">
      <alignment wrapText="1"/>
      <protection locked="0"/>
    </xf>
    <xf numFmtId="0" fontId="3" fillId="0" borderId="46" xfId="0" applyFont="1" applyBorder="1" applyAlignment="1" applyProtection="1">
      <alignment horizontal="center" vertical="top" wrapText="1"/>
      <protection locked="0"/>
    </xf>
    <xf numFmtId="0" fontId="3" fillId="0" borderId="26" xfId="0" applyFont="1" applyBorder="1" applyAlignment="1" applyProtection="1">
      <alignment horizontal="center" vertical="top" wrapText="1"/>
      <protection locked="0"/>
    </xf>
    <xf numFmtId="0" fontId="3" fillId="0" borderId="15" xfId="0" applyFont="1" applyBorder="1" applyAlignment="1" applyProtection="1">
      <alignment horizontal="center" vertical="top" wrapText="1"/>
      <protection locked="0"/>
    </xf>
    <xf numFmtId="0" fontId="3" fillId="0" borderId="27" xfId="0" applyFont="1" applyBorder="1" applyAlignment="1" applyProtection="1">
      <alignment horizontal="center" vertical="top" wrapText="1"/>
      <protection locked="0"/>
    </xf>
    <xf numFmtId="169" fontId="0" fillId="0" borderId="0" xfId="1" applyNumberFormat="1" applyFont="1" applyFill="1" applyBorder="1" applyAlignment="1" applyProtection="1">
      <protection locked="0"/>
    </xf>
    <xf numFmtId="0" fontId="24" fillId="0" borderId="10" xfId="0" applyFont="1" applyBorder="1" applyProtection="1">
      <protection locked="0"/>
    </xf>
    <xf numFmtId="0" fontId="25" fillId="0" borderId="42" xfId="0" applyFont="1" applyBorder="1" applyProtection="1">
      <protection locked="0"/>
    </xf>
    <xf numFmtId="0" fontId="25" fillId="0" borderId="43" xfId="0" applyFont="1" applyBorder="1" applyAlignment="1" applyProtection="1">
      <alignment wrapText="1"/>
      <protection locked="0"/>
    </xf>
    <xf numFmtId="169" fontId="0" fillId="2" borderId="20" xfId="1" applyNumberFormat="1" applyFont="1" applyFill="1" applyBorder="1" applyAlignment="1" applyProtection="1">
      <alignment horizontal="center" vertical="center"/>
      <protection locked="0"/>
    </xf>
    <xf numFmtId="0" fontId="0" fillId="0" borderId="0" xfId="0" applyAlignment="1" applyProtection="1">
      <alignment horizontal="left"/>
      <protection locked="0"/>
    </xf>
    <xf numFmtId="0" fontId="0" fillId="3" borderId="0" xfId="0" applyFill="1" applyAlignment="1" applyProtection="1">
      <alignment horizontal="left"/>
      <protection locked="0"/>
    </xf>
    <xf numFmtId="0" fontId="25" fillId="0" borderId="42" xfId="0" applyFont="1" applyBorder="1" applyAlignment="1" applyProtection="1">
      <alignment horizontal="left" vertical="center" wrapText="1"/>
      <protection locked="0"/>
    </xf>
    <xf numFmtId="0" fontId="25" fillId="0" borderId="15" xfId="0" applyFont="1" applyBorder="1" applyAlignment="1" applyProtection="1">
      <alignment horizontal="center" vertical="center" wrapText="1"/>
      <protection locked="0"/>
    </xf>
    <xf numFmtId="0" fontId="25" fillId="0" borderId="27" xfId="0" applyFont="1" applyBorder="1" applyAlignment="1" applyProtection="1">
      <alignment horizontal="center" vertical="center" wrapText="1"/>
      <protection locked="0"/>
    </xf>
    <xf numFmtId="169" fontId="0" fillId="14" borderId="31" xfId="0" applyNumberFormat="1" applyFill="1" applyBorder="1" applyAlignment="1">
      <alignment vertical="center"/>
    </xf>
    <xf numFmtId="169" fontId="0" fillId="14" borderId="20" xfId="0" applyNumberFormat="1" applyFill="1" applyBorder="1" applyAlignment="1">
      <alignment vertical="center"/>
    </xf>
    <xf numFmtId="9" fontId="0" fillId="14" borderId="15" xfId="2" applyFont="1" applyFill="1" applyBorder="1" applyAlignment="1" applyProtection="1">
      <alignment horizontal="center" vertical="center" wrapText="1"/>
    </xf>
    <xf numFmtId="9" fontId="0" fillId="14" borderId="15" xfId="2" applyFont="1" applyFill="1" applyBorder="1" applyAlignment="1" applyProtection="1">
      <alignment horizontal="center" vertical="center"/>
    </xf>
    <xf numFmtId="0" fontId="25" fillId="0" borderId="25" xfId="0" applyFont="1" applyBorder="1" applyAlignment="1">
      <alignment wrapText="1"/>
    </xf>
    <xf numFmtId="0" fontId="37" fillId="0" borderId="0" xfId="0" applyFont="1" applyAlignment="1">
      <alignment vertical="top"/>
    </xf>
    <xf numFmtId="169" fontId="0" fillId="16" borderId="0" xfId="0" applyNumberFormat="1" applyFill="1" applyAlignment="1">
      <alignment horizontal="center"/>
    </xf>
    <xf numFmtId="169" fontId="0" fillId="16" borderId="9" xfId="0" applyNumberFormat="1" applyFill="1" applyBorder="1" applyAlignment="1">
      <alignment horizontal="center"/>
    </xf>
    <xf numFmtId="169" fontId="0" fillId="14" borderId="0" xfId="1" applyNumberFormat="1" applyFont="1" applyFill="1" applyBorder="1" applyAlignment="1" applyProtection="1">
      <alignment horizontal="center"/>
    </xf>
    <xf numFmtId="0" fontId="14" fillId="0" borderId="0" xfId="0" applyFont="1" applyAlignment="1" applyProtection="1">
      <alignment horizontal="center" vertical="center"/>
      <protection locked="0"/>
    </xf>
    <xf numFmtId="0" fontId="15" fillId="0" borderId="0" xfId="0" applyFont="1" applyAlignment="1" applyProtection="1">
      <alignment vertical="center"/>
      <protection locked="0"/>
    </xf>
    <xf numFmtId="0" fontId="2" fillId="3" borderId="31" xfId="0" applyFont="1" applyFill="1" applyBorder="1" applyAlignment="1" applyProtection="1">
      <alignment vertical="center"/>
      <protection locked="0"/>
    </xf>
    <xf numFmtId="0" fontId="3" fillId="0" borderId="32" xfId="0" applyFont="1" applyBorder="1" applyAlignment="1" applyProtection="1">
      <alignment vertical="center" wrapText="1"/>
      <protection locked="0"/>
    </xf>
    <xf numFmtId="0" fontId="0" fillId="2" borderId="33" xfId="0" applyFill="1" applyBorder="1" applyAlignment="1" applyProtection="1">
      <alignment horizontal="center"/>
      <protection locked="0"/>
    </xf>
    <xf numFmtId="0" fontId="8" fillId="0" borderId="25" xfId="0" applyFont="1" applyBorder="1" applyAlignment="1" applyProtection="1">
      <alignment horizontal="left" vertical="center" wrapText="1"/>
      <protection locked="0"/>
    </xf>
    <xf numFmtId="0" fontId="0" fillId="2" borderId="20" xfId="0" applyFill="1" applyBorder="1" applyAlignment="1" applyProtection="1">
      <alignment horizontal="center" vertical="center" wrapText="1"/>
      <protection locked="0"/>
    </xf>
    <xf numFmtId="9" fontId="0" fillId="0" borderId="0" xfId="2" applyFont="1" applyFill="1" applyBorder="1" applyAlignment="1" applyProtection="1">
      <alignment horizontal="center" vertical="center"/>
      <protection locked="0"/>
    </xf>
    <xf numFmtId="0" fontId="3" fillId="0" borderId="66" xfId="0" applyFont="1" applyBorder="1" applyAlignment="1" applyProtection="1">
      <alignment wrapText="1"/>
      <protection locked="0"/>
    </xf>
    <xf numFmtId="0" fontId="3" fillId="0" borderId="43" xfId="0" applyFont="1" applyBorder="1" applyAlignment="1" applyProtection="1">
      <alignment wrapText="1"/>
      <protection locked="0"/>
    </xf>
    <xf numFmtId="166" fontId="0" fillId="2" borderId="19" xfId="2" applyNumberFormat="1" applyFont="1" applyFill="1" applyBorder="1" applyAlignment="1" applyProtection="1">
      <alignment horizontal="center"/>
      <protection locked="0"/>
    </xf>
    <xf numFmtId="169" fontId="6" fillId="2" borderId="27" xfId="1" applyNumberFormat="1" applyFont="1" applyFill="1" applyBorder="1" applyAlignment="1" applyProtection="1">
      <alignment horizontal="center"/>
      <protection locked="0"/>
    </xf>
    <xf numFmtId="169" fontId="6" fillId="2" borderId="20" xfId="1" applyNumberFormat="1" applyFont="1" applyFill="1" applyBorder="1" applyAlignment="1" applyProtection="1">
      <alignment horizontal="center"/>
      <protection locked="0"/>
    </xf>
    <xf numFmtId="164" fontId="0" fillId="0" borderId="0" xfId="1" applyNumberFormat="1" applyFont="1" applyFill="1" applyBorder="1" applyProtection="1">
      <protection locked="0"/>
    </xf>
    <xf numFmtId="9" fontId="3" fillId="0" borderId="26" xfId="2" applyFont="1" applyFill="1" applyBorder="1" applyAlignment="1" applyProtection="1">
      <alignment horizontal="center" vertical="center"/>
      <protection locked="0"/>
    </xf>
    <xf numFmtId="169" fontId="3" fillId="0" borderId="15" xfId="1" applyNumberFormat="1" applyFont="1" applyFill="1" applyBorder="1" applyAlignment="1" applyProtection="1">
      <alignment horizontal="center" vertical="center"/>
      <protection locked="0"/>
    </xf>
    <xf numFmtId="9" fontId="3" fillId="0" borderId="27" xfId="2" applyFont="1" applyFill="1" applyBorder="1" applyAlignment="1" applyProtection="1">
      <alignment horizontal="center" vertical="center"/>
      <protection locked="0"/>
    </xf>
    <xf numFmtId="164" fontId="3" fillId="0" borderId="26" xfId="1" applyNumberFormat="1"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27" xfId="0" applyFont="1" applyBorder="1" applyAlignment="1" applyProtection="1">
      <alignment horizontal="center" vertical="center"/>
      <protection locked="0"/>
    </xf>
    <xf numFmtId="0" fontId="0" fillId="2" borderId="64" xfId="0" applyFill="1" applyBorder="1" applyAlignment="1" applyProtection="1">
      <alignment horizontal="center"/>
      <protection locked="0"/>
    </xf>
    <xf numFmtId="16" fontId="0" fillId="2" borderId="64" xfId="0" quotePrefix="1" applyNumberFormat="1" applyFill="1" applyBorder="1" applyAlignment="1" applyProtection="1">
      <alignment horizontal="center"/>
      <protection locked="0"/>
    </xf>
    <xf numFmtId="0" fontId="26" fillId="32" borderId="10" xfId="0" applyFont="1" applyFill="1" applyBorder="1" applyAlignment="1" applyProtection="1">
      <alignment horizontal="center" vertical="center" wrapText="1"/>
      <protection locked="0"/>
    </xf>
    <xf numFmtId="0" fontId="0" fillId="2" borderId="64" xfId="0" applyFill="1" applyBorder="1" applyAlignment="1" applyProtection="1">
      <alignment horizontal="center" wrapText="1"/>
      <protection locked="0"/>
    </xf>
    <xf numFmtId="0" fontId="3" fillId="0" borderId="30" xfId="0" applyFont="1" applyBorder="1" applyAlignment="1" applyProtection="1">
      <alignment horizontal="left" vertical="center" wrapText="1"/>
      <protection locked="0"/>
    </xf>
    <xf numFmtId="9" fontId="0" fillId="2" borderId="64" xfId="2" applyFont="1" applyFill="1" applyBorder="1" applyAlignment="1" applyProtection="1">
      <alignment horizontal="center"/>
      <protection locked="0"/>
    </xf>
    <xf numFmtId="0" fontId="3" fillId="0" borderId="15" xfId="0" applyFont="1" applyBorder="1" applyAlignment="1" applyProtection="1">
      <alignment horizontal="left" vertical="center"/>
      <protection locked="0"/>
    </xf>
    <xf numFmtId="0" fontId="0" fillId="2" borderId="77" xfId="0" applyFill="1" applyBorder="1" applyAlignment="1" applyProtection="1">
      <alignment horizontal="center"/>
      <protection locked="0"/>
    </xf>
    <xf numFmtId="0" fontId="6" fillId="2" borderId="64" xfId="0" applyFont="1" applyFill="1" applyBorder="1" applyAlignment="1" applyProtection="1">
      <alignment horizontal="center" wrapText="1"/>
      <protection locked="0"/>
    </xf>
    <xf numFmtId="9" fontId="6" fillId="2" borderId="26" xfId="0" applyNumberFormat="1" applyFont="1" applyFill="1" applyBorder="1" applyAlignment="1" applyProtection="1">
      <alignment horizontal="center" wrapText="1"/>
      <protection locked="0"/>
    </xf>
    <xf numFmtId="9" fontId="6" fillId="2" borderId="26" xfId="2" applyFont="1" applyFill="1" applyBorder="1" applyAlignment="1" applyProtection="1">
      <alignment horizontal="center" wrapText="1"/>
      <protection locked="0"/>
    </xf>
    <xf numFmtId="169" fontId="0" fillId="2" borderId="15" xfId="0" applyNumberFormat="1" applyFill="1" applyBorder="1" applyAlignment="1" applyProtection="1">
      <alignment horizontal="center"/>
      <protection locked="0"/>
    </xf>
    <xf numFmtId="0" fontId="6" fillId="2" borderId="64" xfId="0" applyFont="1" applyFill="1" applyBorder="1" applyAlignment="1" applyProtection="1">
      <alignment horizontal="center" vertical="center" wrapText="1"/>
      <protection locked="0"/>
    </xf>
    <xf numFmtId="9" fontId="6" fillId="2" borderId="26" xfId="2" applyFont="1" applyFill="1" applyBorder="1" applyAlignment="1" applyProtection="1">
      <alignment horizontal="center" vertical="center"/>
      <protection locked="0"/>
    </xf>
    <xf numFmtId="169" fontId="0" fillId="2" borderId="15" xfId="0" applyNumberFormat="1" applyFill="1" applyBorder="1" applyAlignment="1" applyProtection="1">
      <alignment horizontal="center" vertical="center"/>
      <protection locked="0"/>
    </xf>
    <xf numFmtId="9" fontId="6" fillId="2" borderId="26" xfId="2" applyFont="1" applyFill="1" applyBorder="1" applyAlignment="1" applyProtection="1">
      <alignment horizontal="center"/>
      <protection locked="0"/>
    </xf>
    <xf numFmtId="0" fontId="6" fillId="2" borderId="64" xfId="0" applyFont="1" applyFill="1" applyBorder="1" applyAlignment="1" applyProtection="1">
      <alignment horizontal="center"/>
      <protection locked="0"/>
    </xf>
    <xf numFmtId="9" fontId="6" fillId="2" borderId="26" xfId="0" applyNumberFormat="1" applyFont="1" applyFill="1" applyBorder="1" applyAlignment="1" applyProtection="1">
      <alignment horizontal="center"/>
      <protection locked="0"/>
    </xf>
    <xf numFmtId="0" fontId="6" fillId="2" borderId="65" xfId="0" applyFont="1" applyFill="1" applyBorder="1" applyAlignment="1" applyProtection="1">
      <alignment horizontal="center"/>
      <protection locked="0"/>
    </xf>
    <xf numFmtId="9" fontId="6" fillId="2" borderId="25" xfId="0" applyNumberFormat="1" applyFont="1" applyFill="1" applyBorder="1" applyAlignment="1" applyProtection="1">
      <alignment horizontal="center"/>
      <protection locked="0"/>
    </xf>
    <xf numFmtId="169" fontId="0" fillId="2" borderId="20" xfId="0" applyNumberFormat="1" applyFill="1" applyBorder="1" applyAlignment="1" applyProtection="1">
      <alignment horizontal="center"/>
      <protection locked="0"/>
    </xf>
    <xf numFmtId="9" fontId="6" fillId="2" borderId="25" xfId="2" applyFont="1" applyFill="1" applyBorder="1" applyAlignment="1" applyProtection="1">
      <alignment horizontal="center"/>
      <protection locked="0"/>
    </xf>
    <xf numFmtId="9" fontId="0" fillId="0" borderId="0" xfId="2" applyFont="1" applyFill="1" applyBorder="1" applyAlignment="1" applyProtection="1">
      <protection locked="0"/>
    </xf>
    <xf numFmtId="0" fontId="3" fillId="16" borderId="46" xfId="0" applyFont="1" applyFill="1" applyBorder="1" applyAlignment="1" applyProtection="1">
      <alignment horizontal="center" wrapText="1"/>
      <protection locked="0"/>
    </xf>
    <xf numFmtId="16" fontId="3" fillId="0" borderId="37" xfId="0" quotePrefix="1" applyNumberFormat="1" applyFont="1" applyBorder="1" applyAlignment="1" applyProtection="1">
      <alignment horizontal="center" vertical="center" wrapText="1"/>
      <protection locked="0"/>
    </xf>
    <xf numFmtId="9" fontId="0" fillId="2" borderId="38" xfId="2" applyFont="1" applyFill="1" applyBorder="1" applyAlignment="1" applyProtection="1">
      <alignment horizontal="center"/>
      <protection locked="0"/>
    </xf>
    <xf numFmtId="0" fontId="3" fillId="0" borderId="0" xfId="0" applyFont="1" applyAlignment="1" applyProtection="1">
      <alignment vertical="center"/>
      <protection locked="0"/>
    </xf>
    <xf numFmtId="0" fontId="0" fillId="0" borderId="0" xfId="0" applyAlignment="1" applyProtection="1">
      <alignment horizontal="center"/>
      <protection locked="0"/>
    </xf>
    <xf numFmtId="0" fontId="3" fillId="0" borderId="0" xfId="0" applyFont="1" applyAlignment="1" applyProtection="1">
      <alignment horizontal="left" wrapText="1"/>
      <protection locked="0"/>
    </xf>
    <xf numFmtId="169" fontId="0" fillId="14" borderId="54" xfId="0" applyNumberFormat="1" applyFill="1" applyBorder="1"/>
    <xf numFmtId="9" fontId="0" fillId="14" borderId="15" xfId="0" applyNumberFormat="1" applyFill="1" applyBorder="1" applyAlignment="1">
      <alignment horizontal="center" wrapText="1"/>
    </xf>
    <xf numFmtId="169" fontId="0" fillId="14" borderId="15" xfId="0" applyNumberFormat="1" applyFill="1" applyBorder="1" applyAlignment="1">
      <alignment horizontal="center"/>
    </xf>
    <xf numFmtId="9" fontId="0" fillId="14" borderId="15" xfId="0" applyNumberFormat="1" applyFill="1" applyBorder="1" applyAlignment="1">
      <alignment horizontal="center"/>
    </xf>
    <xf numFmtId="9" fontId="0" fillId="14" borderId="15" xfId="2" applyFont="1" applyFill="1" applyBorder="1" applyAlignment="1" applyProtection="1">
      <alignment horizontal="center" wrapText="1"/>
    </xf>
    <xf numFmtId="9" fontId="0" fillId="14" borderId="15" xfId="2" applyFont="1" applyFill="1" applyBorder="1" applyAlignment="1" applyProtection="1">
      <alignment horizontal="center"/>
    </xf>
    <xf numFmtId="169" fontId="0" fillId="14" borderId="15" xfId="1" applyNumberFormat="1" applyFont="1" applyFill="1" applyBorder="1" applyAlignment="1" applyProtection="1">
      <alignment horizontal="center"/>
    </xf>
    <xf numFmtId="0" fontId="0" fillId="0" borderId="35" xfId="0" applyBorder="1" applyProtection="1">
      <protection locked="0"/>
    </xf>
    <xf numFmtId="0" fontId="3" fillId="0" borderId="49" xfId="0" applyFont="1" applyBorder="1" applyAlignment="1" applyProtection="1">
      <alignment horizontal="center" vertical="center"/>
      <protection locked="0"/>
    </xf>
    <xf numFmtId="0" fontId="0" fillId="0" borderId="32" xfId="0" applyBorder="1" applyProtection="1">
      <protection locked="0"/>
    </xf>
    <xf numFmtId="0" fontId="3" fillId="0" borderId="28" xfId="0" applyFont="1" applyBorder="1" applyAlignment="1" applyProtection="1">
      <alignment horizontal="center" vertical="center" wrapText="1"/>
      <protection locked="0"/>
    </xf>
    <xf numFmtId="0" fontId="3" fillId="0" borderId="29" xfId="0" applyFont="1" applyBorder="1" applyAlignment="1" applyProtection="1">
      <alignment horizontal="center" vertical="center" wrapText="1"/>
      <protection locked="0"/>
    </xf>
    <xf numFmtId="0" fontId="2" fillId="23" borderId="42" xfId="0" applyFont="1" applyFill="1" applyBorder="1" applyProtection="1">
      <protection locked="0"/>
    </xf>
    <xf numFmtId="0" fontId="2" fillId="23" borderId="44" xfId="0" applyFont="1" applyFill="1" applyBorder="1" applyProtection="1">
      <protection locked="0"/>
    </xf>
    <xf numFmtId="0" fontId="2" fillId="23" borderId="37" xfId="0" applyFont="1" applyFill="1" applyBorder="1" applyProtection="1">
      <protection locked="0"/>
    </xf>
    <xf numFmtId="0" fontId="2" fillId="23" borderId="48" xfId="0" applyFont="1" applyFill="1" applyBorder="1" applyProtection="1">
      <protection locked="0"/>
    </xf>
    <xf numFmtId="0" fontId="2" fillId="23" borderId="10" xfId="0" applyFont="1" applyFill="1" applyBorder="1" applyProtection="1">
      <protection locked="0"/>
    </xf>
    <xf numFmtId="0" fontId="2" fillId="23" borderId="0" xfId="0" applyFont="1" applyFill="1" applyProtection="1">
      <protection locked="0"/>
    </xf>
    <xf numFmtId="0" fontId="2" fillId="23" borderId="11" xfId="0" applyFont="1" applyFill="1" applyBorder="1" applyProtection="1">
      <protection locked="0"/>
    </xf>
    <xf numFmtId="0" fontId="0" fillId="2" borderId="50" xfId="0" applyFill="1" applyBorder="1" applyAlignment="1" applyProtection="1">
      <alignment horizontal="center"/>
      <protection locked="0"/>
    </xf>
    <xf numFmtId="9" fontId="1" fillId="2" borderId="44" xfId="2" applyFont="1" applyFill="1" applyBorder="1" applyAlignment="1" applyProtection="1">
      <alignment horizontal="center"/>
      <protection locked="0"/>
    </xf>
    <xf numFmtId="0" fontId="4" fillId="23" borderId="44" xfId="0" applyFont="1" applyFill="1" applyBorder="1" applyAlignment="1" applyProtection="1">
      <alignment horizontal="center"/>
      <protection locked="0"/>
    </xf>
    <xf numFmtId="0" fontId="2" fillId="23" borderId="37" xfId="0" applyFont="1" applyFill="1" applyBorder="1" applyAlignment="1" applyProtection="1">
      <alignment horizontal="center"/>
      <protection locked="0"/>
    </xf>
    <xf numFmtId="169" fontId="2" fillId="23" borderId="48" xfId="0" applyNumberFormat="1" applyFont="1" applyFill="1" applyBorder="1" applyAlignment="1" applyProtection="1">
      <alignment horizontal="center"/>
      <protection locked="0"/>
    </xf>
    <xf numFmtId="0" fontId="2" fillId="23" borderId="42" xfId="0" applyFont="1" applyFill="1" applyBorder="1" applyAlignment="1" applyProtection="1">
      <alignment horizontal="left"/>
      <protection locked="0"/>
    </xf>
    <xf numFmtId="0" fontId="2" fillId="23" borderId="0" xfId="0" applyFont="1" applyFill="1" applyAlignment="1" applyProtection="1">
      <alignment horizontal="left"/>
      <protection locked="0"/>
    </xf>
    <xf numFmtId="0" fontId="2" fillId="23" borderId="11" xfId="0" applyFont="1" applyFill="1" applyBorder="1" applyAlignment="1" applyProtection="1">
      <alignment horizontal="left"/>
      <protection locked="0"/>
    </xf>
    <xf numFmtId="9" fontId="1" fillId="2" borderId="15" xfId="2" applyFont="1" applyFill="1" applyBorder="1" applyAlignment="1" applyProtection="1">
      <alignment horizontal="center"/>
      <protection locked="0"/>
    </xf>
    <xf numFmtId="0" fontId="26" fillId="32" borderId="10" xfId="0" applyFont="1" applyFill="1" applyBorder="1" applyAlignment="1" applyProtection="1">
      <alignment horizontal="center" wrapText="1"/>
      <protection locked="0"/>
    </xf>
    <xf numFmtId="0" fontId="0" fillId="2" borderId="60" xfId="0" applyFill="1" applyBorder="1" applyAlignment="1" applyProtection="1">
      <alignment horizontal="center"/>
      <protection locked="0"/>
    </xf>
    <xf numFmtId="9" fontId="1" fillId="2" borderId="19" xfId="2" applyFont="1" applyFill="1" applyBorder="1" applyAlignment="1" applyProtection="1">
      <alignment horizontal="center"/>
      <protection locked="0"/>
    </xf>
    <xf numFmtId="169" fontId="0" fillId="0" borderId="0" xfId="1" applyNumberFormat="1" applyFont="1" applyFill="1" applyBorder="1" applyAlignment="1" applyProtection="1">
      <alignment horizontal="center" vertical="center"/>
      <protection locked="0"/>
    </xf>
    <xf numFmtId="0" fontId="8" fillId="0" borderId="42" xfId="0" applyFont="1" applyBorder="1" applyProtection="1">
      <protection locked="0"/>
    </xf>
    <xf numFmtId="164" fontId="0" fillId="0" borderId="44" xfId="1" applyNumberFormat="1" applyFont="1" applyBorder="1" applyProtection="1">
      <protection locked="0"/>
    </xf>
    <xf numFmtId="0" fontId="0" fillId="0" borderId="50" xfId="0" applyBorder="1" applyProtection="1">
      <protection locked="0"/>
    </xf>
    <xf numFmtId="0" fontId="0" fillId="0" borderId="15" xfId="0" applyBorder="1" applyProtection="1">
      <protection locked="0"/>
    </xf>
    <xf numFmtId="166" fontId="0" fillId="2" borderId="27" xfId="2" applyNumberFormat="1" applyFont="1" applyFill="1" applyBorder="1" applyAlignment="1" applyProtection="1">
      <alignment horizontal="center"/>
      <protection locked="0"/>
    </xf>
    <xf numFmtId="0" fontId="3" fillId="0" borderId="43" xfId="0" applyFont="1" applyBorder="1" applyProtection="1">
      <protection locked="0"/>
    </xf>
    <xf numFmtId="0" fontId="0" fillId="0" borderId="60" xfId="0" applyBorder="1" applyProtection="1">
      <protection locked="0"/>
    </xf>
    <xf numFmtId="9" fontId="3" fillId="0" borderId="15" xfId="2" applyFont="1" applyFill="1" applyBorder="1" applyAlignment="1" applyProtection="1">
      <alignment horizontal="center" vertical="center"/>
      <protection locked="0"/>
    </xf>
    <xf numFmtId="164" fontId="3" fillId="0" borderId="15" xfId="1" applyNumberFormat="1" applyFont="1" applyFill="1" applyBorder="1" applyAlignment="1" applyProtection="1">
      <alignment horizontal="center" vertical="center"/>
      <protection locked="0"/>
    </xf>
    <xf numFmtId="16" fontId="0" fillId="2" borderId="66" xfId="0" quotePrefix="1" applyNumberFormat="1" applyFill="1" applyBorder="1" applyAlignment="1" applyProtection="1">
      <alignment horizontal="center"/>
      <protection locked="0"/>
    </xf>
    <xf numFmtId="0" fontId="0" fillId="2" borderId="66" xfId="0" applyFill="1" applyBorder="1" applyAlignment="1" applyProtection="1">
      <alignment horizontal="center" wrapText="1"/>
      <protection locked="0"/>
    </xf>
    <xf numFmtId="9" fontId="0" fillId="2" borderId="66" xfId="2" applyFont="1" applyFill="1" applyBorder="1" applyAlignment="1" applyProtection="1">
      <alignment horizontal="center"/>
      <protection locked="0"/>
    </xf>
    <xf numFmtId="0" fontId="0" fillId="2" borderId="66" xfId="0" applyFill="1" applyBorder="1" applyAlignment="1" applyProtection="1">
      <alignment horizontal="center"/>
      <protection locked="0"/>
    </xf>
    <xf numFmtId="9" fontId="0" fillId="2" borderId="49" xfId="2" applyFont="1" applyFill="1" applyBorder="1" applyAlignment="1" applyProtection="1">
      <alignment horizontal="center"/>
      <protection locked="0"/>
    </xf>
    <xf numFmtId="9" fontId="6" fillId="2" borderId="50" xfId="2" applyFont="1" applyFill="1" applyBorder="1" applyAlignment="1" applyProtection="1">
      <alignment horizontal="center"/>
      <protection locked="0"/>
    </xf>
    <xf numFmtId="9" fontId="6" fillId="2" borderId="15" xfId="2" applyFont="1" applyFill="1" applyBorder="1" applyAlignment="1" applyProtection="1">
      <alignment horizontal="center"/>
      <protection locked="0"/>
    </xf>
    <xf numFmtId="9" fontId="0" fillId="2" borderId="50" xfId="2" applyFont="1" applyFill="1" applyBorder="1" applyAlignment="1" applyProtection="1">
      <alignment horizontal="center"/>
      <protection locked="0"/>
    </xf>
    <xf numFmtId="9" fontId="0" fillId="2" borderId="60" xfId="2" applyFont="1" applyFill="1" applyBorder="1" applyAlignment="1" applyProtection="1">
      <alignment horizontal="center"/>
      <protection locked="0"/>
    </xf>
    <xf numFmtId="169" fontId="0" fillId="2" borderId="20" xfId="2" applyNumberFormat="1" applyFont="1" applyFill="1" applyBorder="1" applyAlignment="1" applyProtection="1">
      <alignment horizontal="center"/>
      <protection locked="0"/>
    </xf>
    <xf numFmtId="0" fontId="3" fillId="0" borderId="10" xfId="0" applyFont="1" applyBorder="1" applyAlignment="1" applyProtection="1">
      <alignment horizontal="center" wrapText="1"/>
      <protection locked="0"/>
    </xf>
    <xf numFmtId="0" fontId="3" fillId="0" borderId="30" xfId="0" applyFont="1" applyBorder="1" applyAlignment="1" applyProtection="1">
      <alignment horizontal="center" vertical="center"/>
      <protection locked="0"/>
    </xf>
    <xf numFmtId="0" fontId="3" fillId="0" borderId="62" xfId="0" applyFont="1" applyBorder="1" applyAlignment="1" applyProtection="1">
      <alignment horizontal="center" vertical="center"/>
      <protection locked="0"/>
    </xf>
    <xf numFmtId="0" fontId="2" fillId="23" borderId="44" xfId="0" applyFont="1" applyFill="1" applyBorder="1" applyAlignment="1" applyProtection="1">
      <alignment horizontal="center"/>
      <protection locked="0"/>
    </xf>
    <xf numFmtId="0" fontId="2" fillId="23" borderId="48" xfId="0" applyFont="1" applyFill="1" applyBorder="1" applyAlignment="1" applyProtection="1">
      <alignment horizontal="center"/>
      <protection locked="0"/>
    </xf>
    <xf numFmtId="0" fontId="3" fillId="0" borderId="55" xfId="0" applyFont="1" applyBorder="1" applyProtection="1">
      <protection locked="0"/>
    </xf>
    <xf numFmtId="169" fontId="0" fillId="2" borderId="28" xfId="1" applyNumberFormat="1" applyFont="1" applyFill="1" applyBorder="1" applyAlignment="1" applyProtection="1">
      <alignment horizontal="center"/>
      <protection locked="0"/>
    </xf>
    <xf numFmtId="0" fontId="5" fillId="0" borderId="0" xfId="0" applyFont="1" applyAlignment="1" applyProtection="1">
      <alignment vertical="top" wrapText="1"/>
      <protection locked="0"/>
    </xf>
    <xf numFmtId="9" fontId="0" fillId="12" borderId="15" xfId="0" applyNumberFormat="1" applyFill="1" applyBorder="1" applyAlignment="1">
      <alignment horizontal="center" vertical="center" wrapText="1"/>
    </xf>
    <xf numFmtId="9" fontId="0" fillId="12" borderId="15" xfId="0" applyNumberFormat="1" applyFill="1" applyBorder="1" applyAlignment="1">
      <alignment horizontal="center"/>
    </xf>
    <xf numFmtId="0" fontId="0" fillId="16" borderId="26" xfId="0" applyFill="1" applyBorder="1" applyAlignment="1">
      <alignment horizontal="center"/>
    </xf>
    <xf numFmtId="0" fontId="0" fillId="16" borderId="25" xfId="0" applyFill="1" applyBorder="1" applyAlignment="1">
      <alignment horizontal="center"/>
    </xf>
    <xf numFmtId="0" fontId="3" fillId="19" borderId="21" xfId="0" applyFont="1" applyFill="1" applyBorder="1" applyAlignment="1" applyProtection="1">
      <alignment horizontal="center"/>
      <protection locked="0"/>
    </xf>
    <xf numFmtId="0" fontId="3" fillId="19" borderId="71" xfId="0" applyFont="1" applyFill="1" applyBorder="1" applyAlignment="1" applyProtection="1">
      <alignment horizontal="center"/>
      <protection locked="0"/>
    </xf>
    <xf numFmtId="0" fontId="3" fillId="19" borderId="22" xfId="0" applyFont="1" applyFill="1" applyBorder="1" applyAlignment="1" applyProtection="1">
      <alignment horizontal="center"/>
      <protection locked="0"/>
    </xf>
    <xf numFmtId="0" fontId="3" fillId="19" borderId="23" xfId="0" applyFont="1" applyFill="1" applyBorder="1" applyAlignment="1" applyProtection="1">
      <alignment horizontal="center"/>
      <protection locked="0"/>
    </xf>
    <xf numFmtId="0" fontId="0" fillId="0" borderId="55" xfId="0" applyBorder="1" applyAlignment="1" applyProtection="1">
      <alignment horizontal="center"/>
      <protection locked="0"/>
    </xf>
    <xf numFmtId="0" fontId="0" fillId="2" borderId="69" xfId="0" applyFill="1" applyBorder="1" applyAlignment="1" applyProtection="1">
      <alignment horizontal="center"/>
      <protection locked="0"/>
    </xf>
    <xf numFmtId="0" fontId="0" fillId="2" borderId="28" xfId="0" applyFill="1" applyBorder="1" applyAlignment="1" applyProtection="1">
      <alignment horizontal="center"/>
      <protection locked="0"/>
    </xf>
    <xf numFmtId="0" fontId="0" fillId="2" borderId="29" xfId="0" applyFill="1" applyBorder="1" applyAlignment="1" applyProtection="1">
      <alignment horizontal="center"/>
      <protection locked="0"/>
    </xf>
    <xf numFmtId="0" fontId="0" fillId="0" borderId="16" xfId="0" applyBorder="1" applyProtection="1">
      <protection locked="0"/>
    </xf>
    <xf numFmtId="0" fontId="3" fillId="0" borderId="26" xfId="0" applyFont="1" applyBorder="1" applyAlignment="1" applyProtection="1">
      <alignment horizontal="center"/>
      <protection locked="0"/>
    </xf>
    <xf numFmtId="0" fontId="0" fillId="0" borderId="26" xfId="0" quotePrefix="1" applyBorder="1" applyAlignment="1" applyProtection="1">
      <alignment horizontal="center"/>
      <protection locked="0"/>
    </xf>
    <xf numFmtId="0" fontId="0" fillId="2" borderId="50" xfId="0" quotePrefix="1" applyFill="1" applyBorder="1" applyAlignment="1" applyProtection="1">
      <alignment horizontal="center"/>
      <protection locked="0"/>
    </xf>
    <xf numFmtId="0" fontId="0" fillId="2" borderId="15" xfId="0" applyFill="1" applyBorder="1" applyAlignment="1" applyProtection="1">
      <alignment horizontal="center"/>
      <protection locked="0"/>
    </xf>
    <xf numFmtId="0" fontId="3" fillId="20" borderId="57" xfId="0" applyFont="1" applyFill="1" applyBorder="1" applyAlignment="1" applyProtection="1">
      <alignment horizontal="center"/>
      <protection locked="0"/>
    </xf>
    <xf numFmtId="0" fontId="3" fillId="20" borderId="0" xfId="0" applyFont="1" applyFill="1" applyAlignment="1" applyProtection="1">
      <alignment horizontal="center"/>
      <protection locked="0"/>
    </xf>
    <xf numFmtId="0" fontId="3" fillId="20" borderId="14" xfId="0" applyFont="1" applyFill="1" applyBorder="1" applyAlignment="1" applyProtection="1">
      <alignment horizontal="center"/>
      <protection locked="0"/>
    </xf>
    <xf numFmtId="169" fontId="0" fillId="2" borderId="25" xfId="0" applyNumberFormat="1" applyFill="1" applyBorder="1" applyAlignment="1" applyProtection="1">
      <alignment horizontal="center"/>
      <protection locked="0"/>
    </xf>
    <xf numFmtId="0" fontId="0" fillId="0" borderId="25" xfId="0" quotePrefix="1" applyBorder="1" applyAlignment="1" applyProtection="1">
      <alignment horizontal="center"/>
      <protection locked="0"/>
    </xf>
    <xf numFmtId="0" fontId="0" fillId="2" borderId="60" xfId="0" quotePrefix="1" applyFill="1" applyBorder="1" applyAlignment="1" applyProtection="1">
      <alignment horizontal="center"/>
      <protection locked="0"/>
    </xf>
    <xf numFmtId="9" fontId="0" fillId="2" borderId="15" xfId="0" applyNumberFormat="1" applyFill="1" applyBorder="1" applyAlignment="1" applyProtection="1">
      <alignment horizontal="center"/>
      <protection locked="0"/>
    </xf>
    <xf numFmtId="0" fontId="0" fillId="0" borderId="55" xfId="0" applyBorder="1" applyProtection="1">
      <protection locked="0"/>
    </xf>
    <xf numFmtId="0" fontId="0" fillId="0" borderId="34" xfId="0" applyBorder="1" applyAlignment="1" applyProtection="1">
      <alignment horizontal="center"/>
      <protection locked="0"/>
    </xf>
    <xf numFmtId="0" fontId="0" fillId="2" borderId="58" xfId="0" applyFill="1" applyBorder="1" applyAlignment="1" applyProtection="1">
      <alignment horizontal="center"/>
      <protection locked="0"/>
    </xf>
    <xf numFmtId="9" fontId="0" fillId="2" borderId="20" xfId="2" applyFont="1" applyFill="1" applyBorder="1" applyProtection="1">
      <protection locked="0"/>
    </xf>
    <xf numFmtId="169" fontId="0" fillId="0" borderId="7" xfId="0" applyNumberFormat="1" applyBorder="1" applyProtection="1">
      <protection locked="0"/>
    </xf>
    <xf numFmtId="0" fontId="3" fillId="19" borderId="34" xfId="0" applyFont="1" applyFill="1" applyBorder="1" applyAlignment="1" applyProtection="1">
      <alignment horizontal="center"/>
      <protection locked="0"/>
    </xf>
    <xf numFmtId="0" fontId="3" fillId="19" borderId="13" xfId="0" applyFont="1" applyFill="1" applyBorder="1" applyAlignment="1" applyProtection="1">
      <alignment horizontal="center"/>
      <protection locked="0"/>
    </xf>
    <xf numFmtId="0" fontId="0" fillId="0" borderId="25" xfId="0" applyBorder="1" applyProtection="1">
      <protection locked="0"/>
    </xf>
    <xf numFmtId="0" fontId="0" fillId="0" borderId="3" xfId="0" applyBorder="1" applyProtection="1">
      <protection locked="0"/>
    </xf>
    <xf numFmtId="16" fontId="0" fillId="0" borderId="26" xfId="0" quotePrefix="1" applyNumberFormat="1" applyBorder="1" applyAlignment="1" applyProtection="1">
      <alignment horizontal="center"/>
      <protection locked="0"/>
    </xf>
    <xf numFmtId="0" fontId="0" fillId="0" borderId="5" xfId="0" applyBorder="1" applyProtection="1">
      <protection locked="0"/>
    </xf>
    <xf numFmtId="0" fontId="3" fillId="0" borderId="35" xfId="0" applyFont="1" applyBorder="1" applyAlignment="1" applyProtection="1">
      <alignment wrapText="1"/>
      <protection locked="0"/>
    </xf>
    <xf numFmtId="0" fontId="3" fillId="0" borderId="26" xfId="0" applyFont="1" applyBorder="1" applyAlignment="1" applyProtection="1">
      <alignment wrapText="1"/>
      <protection locked="0"/>
    </xf>
    <xf numFmtId="0" fontId="0" fillId="0" borderId="1" xfId="0" quotePrefix="1" applyBorder="1" applyProtection="1">
      <protection locked="0"/>
    </xf>
    <xf numFmtId="0" fontId="3" fillId="19" borderId="1" xfId="0" applyFont="1" applyFill="1" applyBorder="1" applyAlignment="1" applyProtection="1">
      <alignment horizontal="center"/>
      <protection locked="0"/>
    </xf>
    <xf numFmtId="0" fontId="0" fillId="0" borderId="13" xfId="0" quotePrefix="1" applyBorder="1" applyAlignment="1" applyProtection="1">
      <alignment horizontal="center"/>
      <protection locked="0"/>
    </xf>
    <xf numFmtId="0" fontId="3" fillId="0" borderId="0" xfId="0" applyFont="1" applyAlignment="1" applyProtection="1">
      <alignment vertical="top" wrapText="1"/>
      <protection locked="0"/>
    </xf>
    <xf numFmtId="0" fontId="19" fillId="0" borderId="0" xfId="4" applyProtection="1">
      <protection locked="0"/>
    </xf>
    <xf numFmtId="171" fontId="0" fillId="0" borderId="0" xfId="0" applyNumberFormat="1" applyProtection="1">
      <protection locked="0"/>
    </xf>
    <xf numFmtId="0" fontId="3" fillId="0" borderId="50" xfId="0" applyFont="1" applyBorder="1" applyAlignment="1" applyProtection="1">
      <alignment horizontal="center"/>
      <protection locked="0"/>
    </xf>
    <xf numFmtId="9" fontId="0" fillId="2" borderId="27" xfId="2" applyFont="1" applyFill="1" applyBorder="1" applyProtection="1">
      <protection locked="0"/>
    </xf>
    <xf numFmtId="0" fontId="6" fillId="0" borderId="0" xfId="0" applyFont="1" applyProtection="1">
      <protection locked="0"/>
    </xf>
    <xf numFmtId="0" fontId="0" fillId="3" borderId="0" xfId="0" applyFill="1" applyAlignment="1" applyProtection="1">
      <alignment wrapText="1"/>
      <protection locked="0"/>
    </xf>
    <xf numFmtId="0" fontId="3" fillId="0" borderId="27" xfId="0" applyFont="1" applyBorder="1" applyAlignment="1" applyProtection="1">
      <alignment horizontal="center" wrapText="1"/>
      <protection locked="0"/>
    </xf>
    <xf numFmtId="169" fontId="0" fillId="0" borderId="27" xfId="0" applyNumberFormat="1" applyBorder="1" applyAlignment="1">
      <alignment horizontal="center"/>
    </xf>
    <xf numFmtId="169" fontId="0" fillId="0" borderId="31" xfId="0" applyNumberFormat="1" applyBorder="1" applyAlignment="1">
      <alignment horizontal="center"/>
    </xf>
    <xf numFmtId="169" fontId="0" fillId="0" borderId="23" xfId="0" applyNumberFormat="1" applyBorder="1" applyAlignment="1">
      <alignment horizontal="center"/>
    </xf>
    <xf numFmtId="169" fontId="0" fillId="16" borderId="15" xfId="0" applyNumberFormat="1" applyFill="1" applyBorder="1" applyAlignment="1">
      <alignment horizontal="center"/>
    </xf>
    <xf numFmtId="169" fontId="0" fillId="16" borderId="27" xfId="0" applyNumberFormat="1" applyFill="1" applyBorder="1" applyAlignment="1">
      <alignment horizontal="center"/>
    </xf>
    <xf numFmtId="169" fontId="0" fillId="16" borderId="30" xfId="0" applyNumberFormat="1" applyFill="1" applyBorder="1" applyAlignment="1">
      <alignment horizontal="center"/>
    </xf>
    <xf numFmtId="169" fontId="0" fillId="16" borderId="31" xfId="0" applyNumberFormat="1" applyFill="1" applyBorder="1" applyAlignment="1">
      <alignment horizontal="center"/>
    </xf>
    <xf numFmtId="169" fontId="0" fillId="16" borderId="18" xfId="0" applyNumberFormat="1" applyFill="1" applyBorder="1" applyAlignment="1">
      <alignment horizontal="center"/>
    </xf>
    <xf numFmtId="169" fontId="0" fillId="16" borderId="20" xfId="0" applyNumberFormat="1" applyFill="1" applyBorder="1" applyAlignment="1">
      <alignment horizontal="center"/>
    </xf>
    <xf numFmtId="169" fontId="0" fillId="0" borderId="40" xfId="0" applyNumberFormat="1" applyBorder="1" applyAlignment="1">
      <alignment horizontal="center"/>
    </xf>
    <xf numFmtId="9" fontId="0" fillId="16" borderId="27" xfId="2" applyFont="1" applyFill="1" applyBorder="1" applyAlignment="1" applyProtection="1">
      <alignment horizontal="center"/>
    </xf>
    <xf numFmtId="169" fontId="0" fillId="16" borderId="19" xfId="0" applyNumberFormat="1" applyFill="1" applyBorder="1" applyAlignment="1">
      <alignment horizontal="center"/>
    </xf>
    <xf numFmtId="9" fontId="0" fillId="16" borderId="15" xfId="0" applyNumberFormat="1" applyFill="1" applyBorder="1"/>
    <xf numFmtId="169" fontId="0" fillId="16" borderId="19" xfId="0" applyNumberFormat="1" applyFill="1" applyBorder="1"/>
    <xf numFmtId="169" fontId="0" fillId="16" borderId="20" xfId="0" applyNumberFormat="1" applyFill="1" applyBorder="1"/>
    <xf numFmtId="169" fontId="0" fillId="16" borderId="7" xfId="0" applyNumberFormat="1" applyFill="1" applyBorder="1" applyAlignment="1">
      <alignment horizontal="center" vertical="center"/>
    </xf>
    <xf numFmtId="169" fontId="0" fillId="16" borderId="29" xfId="0" applyNumberFormat="1" applyFill="1" applyBorder="1" applyAlignment="1">
      <alignment horizontal="center"/>
    </xf>
    <xf numFmtId="169" fontId="0" fillId="10" borderId="20" xfId="0" applyNumberFormat="1" applyFill="1" applyBorder="1" applyAlignment="1">
      <alignment horizontal="center"/>
    </xf>
    <xf numFmtId="0" fontId="0" fillId="14" borderId="72" xfId="0" applyFill="1" applyBorder="1" applyAlignment="1">
      <alignment horizontal="center"/>
    </xf>
    <xf numFmtId="0" fontId="0" fillId="16" borderId="58" xfId="0" applyFill="1" applyBorder="1" applyAlignment="1">
      <alignment horizontal="center"/>
    </xf>
    <xf numFmtId="169" fontId="0" fillId="16" borderId="40" xfId="0" applyNumberFormat="1" applyFill="1" applyBorder="1" applyAlignment="1">
      <alignment horizontal="center"/>
    </xf>
    <xf numFmtId="0" fontId="0" fillId="16" borderId="28" xfId="0" applyFill="1" applyBorder="1" applyAlignment="1">
      <alignment horizontal="center"/>
    </xf>
    <xf numFmtId="0" fontId="0" fillId="16" borderId="55" xfId="0" applyFill="1" applyBorder="1" applyAlignment="1">
      <alignment horizontal="center"/>
    </xf>
    <xf numFmtId="0" fontId="0" fillId="16" borderId="34" xfId="0" applyFill="1" applyBorder="1" applyAlignment="1">
      <alignment horizontal="center"/>
    </xf>
    <xf numFmtId="169" fontId="0" fillId="16" borderId="29" xfId="1" applyNumberFormat="1" applyFont="1" applyFill="1" applyBorder="1" applyAlignment="1" applyProtection="1">
      <alignment horizontal="center"/>
    </xf>
    <xf numFmtId="169" fontId="0" fillId="16" borderId="27" xfId="1" applyNumberFormat="1" applyFont="1" applyFill="1" applyBorder="1" applyAlignment="1" applyProtection="1">
      <alignment horizontal="center"/>
    </xf>
    <xf numFmtId="169" fontId="0" fillId="16" borderId="20" xfId="1" applyNumberFormat="1" applyFont="1" applyFill="1" applyBorder="1" applyAlignment="1" applyProtection="1">
      <alignment horizontal="center"/>
    </xf>
    <xf numFmtId="0" fontId="0" fillId="14" borderId="0" xfId="0" applyFill="1" applyProtection="1">
      <protection locked="0"/>
    </xf>
    <xf numFmtId="0" fontId="29" fillId="14" borderId="0" xfId="0" applyFont="1" applyFill="1" applyProtection="1">
      <protection locked="0"/>
    </xf>
    <xf numFmtId="0" fontId="6" fillId="3" borderId="0" xfId="0" applyFont="1" applyFill="1" applyProtection="1">
      <protection locked="0"/>
    </xf>
    <xf numFmtId="0" fontId="0" fillId="12" borderId="0" xfId="0" applyFill="1" applyProtection="1">
      <protection locked="0"/>
    </xf>
    <xf numFmtId="0" fontId="29" fillId="12" borderId="0" xfId="0" applyFont="1" applyFill="1" applyProtection="1">
      <protection locked="0"/>
    </xf>
    <xf numFmtId="0" fontId="29" fillId="14" borderId="3" xfId="0" applyFont="1" applyFill="1" applyBorder="1" applyProtection="1">
      <protection locked="0"/>
    </xf>
    <xf numFmtId="0" fontId="26" fillId="32" borderId="26" xfId="0" applyFont="1" applyFill="1" applyBorder="1" applyAlignment="1" applyProtection="1">
      <alignment horizontal="center" wrapText="1"/>
      <protection locked="0"/>
    </xf>
    <xf numFmtId="0" fontId="26" fillId="32" borderId="15" xfId="0" applyFont="1" applyFill="1" applyBorder="1" applyAlignment="1" applyProtection="1">
      <alignment horizontal="center" wrapText="1"/>
      <protection locked="0"/>
    </xf>
    <xf numFmtId="0" fontId="26" fillId="32" borderId="27" xfId="0" applyFont="1" applyFill="1" applyBorder="1" applyAlignment="1" applyProtection="1">
      <alignment horizontal="center" wrapText="1"/>
      <protection locked="0"/>
    </xf>
    <xf numFmtId="0" fontId="28" fillId="14" borderId="55" xfId="0" applyFont="1" applyFill="1" applyBorder="1" applyAlignment="1" applyProtection="1">
      <alignment vertical="center" wrapText="1"/>
      <protection locked="0"/>
    </xf>
    <xf numFmtId="0" fontId="3" fillId="0" borderId="26" xfId="0" applyFont="1" applyBorder="1" applyAlignment="1" applyProtection="1">
      <alignment horizontal="center" vertical="center"/>
      <protection locked="0"/>
    </xf>
    <xf numFmtId="0" fontId="28" fillId="14" borderId="35" xfId="0" applyFont="1" applyFill="1" applyBorder="1" applyAlignment="1" applyProtection="1">
      <alignment vertical="center" wrapText="1"/>
      <protection locked="0"/>
    </xf>
    <xf numFmtId="0" fontId="3" fillId="0" borderId="25" xfId="0" applyFont="1" applyBorder="1" applyAlignment="1" applyProtection="1">
      <alignment horizontal="center" vertical="center"/>
      <protection locked="0"/>
    </xf>
    <xf numFmtId="0" fontId="28" fillId="14" borderId="55" xfId="0" applyFont="1" applyFill="1" applyBorder="1" applyAlignment="1" applyProtection="1">
      <alignment vertical="center"/>
      <protection locked="0"/>
    </xf>
    <xf numFmtId="0" fontId="28" fillId="14" borderId="25" xfId="0" applyFont="1" applyFill="1" applyBorder="1" applyAlignment="1" applyProtection="1">
      <alignment vertical="center" wrapText="1"/>
      <protection locked="0"/>
    </xf>
    <xf numFmtId="0" fontId="28" fillId="14" borderId="0" xfId="0" applyFont="1" applyFill="1" applyAlignment="1" applyProtection="1">
      <alignment vertical="center" wrapText="1"/>
      <protection locked="0"/>
    </xf>
    <xf numFmtId="0" fontId="2" fillId="3" borderId="26" xfId="0" applyFont="1" applyFill="1" applyBorder="1" applyAlignment="1" applyProtection="1">
      <alignment horizontal="center"/>
      <protection locked="0"/>
    </xf>
    <xf numFmtId="0" fontId="2" fillId="3" borderId="15" xfId="0" applyFont="1" applyFill="1" applyBorder="1" applyAlignment="1" applyProtection="1">
      <alignment horizontal="center"/>
      <protection locked="0"/>
    </xf>
    <xf numFmtId="0" fontId="2" fillId="3" borderId="27" xfId="0" applyFont="1" applyFill="1" applyBorder="1" applyAlignment="1" applyProtection="1">
      <alignment horizontal="center"/>
      <protection locked="0"/>
    </xf>
    <xf numFmtId="0" fontId="28" fillId="12" borderId="0" xfId="0" applyFont="1" applyFill="1" applyAlignment="1" applyProtection="1">
      <alignment wrapText="1"/>
      <protection locked="0"/>
    </xf>
    <xf numFmtId="0" fontId="28" fillId="14" borderId="34" xfId="0" applyFont="1" applyFill="1" applyBorder="1" applyAlignment="1" applyProtection="1">
      <alignment vertical="center" wrapText="1"/>
      <protection locked="0"/>
    </xf>
    <xf numFmtId="0" fontId="2" fillId="12" borderId="0" xfId="0" applyFont="1" applyFill="1" applyAlignment="1" applyProtection="1">
      <alignment horizontal="center" vertical="center"/>
      <protection locked="0"/>
    </xf>
    <xf numFmtId="0" fontId="30" fillId="12" borderId="0" xfId="0" applyFont="1" applyFill="1" applyAlignment="1" applyProtection="1">
      <alignment horizontal="left" vertical="center" wrapText="1"/>
      <protection locked="0"/>
    </xf>
    <xf numFmtId="0" fontId="2" fillId="3" borderId="27" xfId="0" applyFont="1" applyFill="1" applyBorder="1" applyAlignment="1" applyProtection="1">
      <alignment horizontal="center" vertical="center" wrapText="1"/>
      <protection locked="0"/>
    </xf>
    <xf numFmtId="0" fontId="2" fillId="12" borderId="0" xfId="0" applyFont="1" applyFill="1" applyAlignment="1" applyProtection="1">
      <alignment horizontal="center" vertical="center" wrapText="1"/>
      <protection locked="0"/>
    </xf>
    <xf numFmtId="169" fontId="0" fillId="14" borderId="0" xfId="0" applyNumberFormat="1" applyFill="1" applyAlignment="1" applyProtection="1">
      <alignment horizontal="center"/>
      <protection locked="0"/>
    </xf>
    <xf numFmtId="169" fontId="0" fillId="14" borderId="0" xfId="0" applyNumberFormat="1" applyFill="1" applyProtection="1">
      <protection locked="0"/>
    </xf>
    <xf numFmtId="0" fontId="26" fillId="37" borderId="0" xfId="0" applyFont="1" applyFill="1" applyProtection="1">
      <protection locked="0"/>
    </xf>
    <xf numFmtId="0" fontId="30" fillId="37" borderId="0" xfId="0" applyFont="1" applyFill="1" applyAlignment="1" applyProtection="1">
      <alignment vertical="center" wrapText="1"/>
      <protection locked="0"/>
    </xf>
    <xf numFmtId="0" fontId="0" fillId="14" borderId="24" xfId="0" applyFill="1" applyBorder="1" applyProtection="1">
      <protection locked="0"/>
    </xf>
    <xf numFmtId="0" fontId="2" fillId="3" borderId="8" xfId="0" applyFont="1" applyFill="1" applyBorder="1" applyAlignment="1" applyProtection="1">
      <alignment horizontal="center"/>
      <protection locked="0"/>
    </xf>
    <xf numFmtId="0" fontId="2" fillId="3" borderId="4" xfId="0" applyFont="1" applyFill="1" applyBorder="1" applyAlignment="1" applyProtection="1">
      <alignment horizontal="center"/>
      <protection locked="0"/>
    </xf>
    <xf numFmtId="0" fontId="8" fillId="29" borderId="26" xfId="0" applyFont="1" applyFill="1" applyBorder="1" applyProtection="1">
      <protection locked="0"/>
    </xf>
    <xf numFmtId="0" fontId="26" fillId="36" borderId="0" xfId="0" applyFont="1" applyFill="1" applyAlignment="1" applyProtection="1">
      <alignment vertical="center" wrapText="1"/>
      <protection locked="0"/>
    </xf>
    <xf numFmtId="0" fontId="3" fillId="0" borderId="37" xfId="0" applyFont="1" applyBorder="1" applyAlignment="1" applyProtection="1">
      <alignment horizontal="center" vertical="center" wrapText="1"/>
      <protection locked="0"/>
    </xf>
    <xf numFmtId="0" fontId="0" fillId="16" borderId="0" xfId="0" applyFill="1" applyProtection="1">
      <protection locked="0"/>
    </xf>
    <xf numFmtId="0" fontId="3" fillId="14" borderId="0" xfId="0" applyFont="1" applyFill="1" applyAlignment="1" applyProtection="1">
      <alignment horizontal="center" vertical="center" wrapText="1"/>
      <protection locked="0"/>
    </xf>
    <xf numFmtId="9" fontId="0" fillId="14" borderId="0" xfId="2" applyFont="1" applyFill="1" applyBorder="1" applyAlignment="1" applyProtection="1">
      <alignment horizontal="center" vertical="center" wrapText="1"/>
      <protection locked="0"/>
    </xf>
    <xf numFmtId="164" fontId="0" fillId="14" borderId="0" xfId="0" applyNumberFormat="1" applyFill="1" applyProtection="1">
      <protection locked="0"/>
    </xf>
    <xf numFmtId="0" fontId="3" fillId="14" borderId="15" xfId="0" applyFont="1" applyFill="1" applyBorder="1" applyAlignment="1" applyProtection="1">
      <alignment horizontal="center" vertical="center" wrapText="1"/>
      <protection locked="0"/>
    </xf>
    <xf numFmtId="0" fontId="8" fillId="29" borderId="25" xfId="0" applyFont="1" applyFill="1" applyBorder="1" applyProtection="1">
      <protection locked="0"/>
    </xf>
    <xf numFmtId="0" fontId="8" fillId="29" borderId="21" xfId="0" applyFont="1" applyFill="1" applyBorder="1" applyAlignment="1" applyProtection="1">
      <alignment wrapText="1"/>
      <protection locked="0"/>
    </xf>
    <xf numFmtId="10" fontId="0" fillId="14" borderId="28" xfId="2" applyNumberFormat="1" applyFont="1" applyFill="1" applyBorder="1" applyAlignment="1" applyProtection="1">
      <alignment horizontal="center"/>
    </xf>
    <xf numFmtId="10" fontId="0" fillId="14" borderId="15" xfId="2" applyNumberFormat="1" applyFont="1" applyFill="1" applyBorder="1" applyProtection="1"/>
    <xf numFmtId="169" fontId="0" fillId="14" borderId="19" xfId="0" applyNumberFormat="1" applyFill="1" applyBorder="1"/>
    <xf numFmtId="169" fontId="0" fillId="14" borderId="22" xfId="0" applyNumberFormat="1" applyFill="1" applyBorder="1"/>
    <xf numFmtId="169" fontId="0" fillId="14" borderId="23" xfId="0" applyNumberFormat="1" applyFill="1" applyBorder="1"/>
    <xf numFmtId="10" fontId="0" fillId="14" borderId="15" xfId="2" applyNumberFormat="1" applyFont="1" applyFill="1" applyBorder="1" applyAlignment="1" applyProtection="1">
      <alignment horizontal="center" vertical="center"/>
    </xf>
    <xf numFmtId="169" fontId="0" fillId="14" borderId="15" xfId="1" applyNumberFormat="1" applyFont="1" applyFill="1" applyBorder="1" applyAlignment="1" applyProtection="1">
      <alignment horizontal="center" vertical="center"/>
    </xf>
    <xf numFmtId="169" fontId="0" fillId="14" borderId="15" xfId="0" applyNumberFormat="1" applyFill="1" applyBorder="1"/>
    <xf numFmtId="169" fontId="0" fillId="14" borderId="27" xfId="0" applyNumberFormat="1" applyFill="1" applyBorder="1"/>
    <xf numFmtId="169" fontId="0" fillId="12" borderId="15" xfId="0" applyNumberFormat="1" applyFill="1" applyBorder="1" applyAlignment="1">
      <alignment horizontal="center" vertical="center"/>
    </xf>
    <xf numFmtId="169" fontId="0" fillId="12" borderId="27" xfId="0" applyNumberFormat="1" applyFill="1" applyBorder="1" applyAlignment="1">
      <alignment horizontal="center" vertical="center"/>
    </xf>
    <xf numFmtId="169" fontId="0" fillId="12" borderId="19" xfId="0" applyNumberFormat="1" applyFill="1" applyBorder="1" applyAlignment="1">
      <alignment horizontal="center" vertical="center"/>
    </xf>
    <xf numFmtId="169" fontId="0" fillId="12" borderId="20" xfId="0" applyNumberFormat="1" applyFill="1" applyBorder="1" applyAlignment="1">
      <alignment horizontal="center" vertical="center"/>
    </xf>
    <xf numFmtId="169" fontId="0" fillId="12" borderId="25" xfId="0" applyNumberFormat="1" applyFill="1" applyBorder="1" applyAlignment="1">
      <alignment horizontal="center" vertical="center"/>
    </xf>
    <xf numFmtId="10" fontId="0" fillId="14" borderId="37" xfId="2" applyNumberFormat="1" applyFont="1" applyFill="1" applyBorder="1" applyAlignment="1" applyProtection="1">
      <alignment horizontal="center" vertical="center"/>
    </xf>
    <xf numFmtId="10" fontId="0" fillId="12" borderId="27" xfId="2" applyNumberFormat="1" applyFont="1" applyFill="1" applyBorder="1" applyAlignment="1" applyProtection="1">
      <alignment vertical="center"/>
    </xf>
    <xf numFmtId="169" fontId="0" fillId="14" borderId="51" xfId="1" applyNumberFormat="1" applyFont="1" applyFill="1" applyBorder="1" applyAlignment="1" applyProtection="1">
      <alignment horizontal="center" vertical="center"/>
    </xf>
    <xf numFmtId="169" fontId="0" fillId="14" borderId="31" xfId="1" applyNumberFormat="1" applyFont="1" applyFill="1" applyBorder="1" applyAlignment="1" applyProtection="1">
      <alignment horizontal="center" vertical="center"/>
    </xf>
    <xf numFmtId="0" fontId="0" fillId="12" borderId="0" xfId="0" applyFill="1"/>
    <xf numFmtId="0" fontId="0" fillId="14" borderId="9" xfId="0" quotePrefix="1" applyFill="1" applyBorder="1"/>
    <xf numFmtId="0" fontId="0" fillId="14" borderId="9" xfId="0" applyFill="1" applyBorder="1"/>
    <xf numFmtId="0" fontId="0" fillId="14" borderId="6" xfId="0" applyFill="1" applyBorder="1"/>
    <xf numFmtId="169" fontId="3" fillId="0" borderId="0" xfId="0" applyNumberFormat="1" applyFont="1" applyAlignment="1" applyProtection="1">
      <alignment horizontal="center" vertical="center" wrapText="1"/>
      <protection locked="0"/>
    </xf>
    <xf numFmtId="0" fontId="38" fillId="0" borderId="15" xfId="0" applyFont="1" applyBorder="1" applyAlignment="1" applyProtection="1">
      <alignment horizontal="center"/>
      <protection locked="0"/>
    </xf>
    <xf numFmtId="0" fontId="38" fillId="0" borderId="15" xfId="0" applyFont="1" applyBorder="1" applyAlignment="1" applyProtection="1">
      <alignment horizontal="center" wrapText="1"/>
      <protection locked="0"/>
    </xf>
    <xf numFmtId="164" fontId="38" fillId="0" borderId="27" xfId="1" applyNumberFormat="1" applyFont="1" applyFill="1" applyBorder="1" applyAlignment="1" applyProtection="1">
      <alignment horizontal="center" wrapText="1"/>
      <protection locked="0"/>
    </xf>
    <xf numFmtId="0" fontId="3" fillId="0" borderId="25" xfId="0" applyFont="1" applyBorder="1" applyAlignment="1">
      <alignment wrapText="1"/>
    </xf>
    <xf numFmtId="0" fontId="0" fillId="2" borderId="4" xfId="0" applyFill="1" applyBorder="1" applyAlignment="1" applyProtection="1">
      <alignment horizontal="center" vertical="center" wrapText="1"/>
      <protection locked="0"/>
    </xf>
    <xf numFmtId="0" fontId="3" fillId="0" borderId="35" xfId="0" applyFont="1" applyBorder="1" applyAlignment="1" applyProtection="1">
      <alignment horizontal="left" vertical="center" wrapText="1"/>
      <protection locked="0"/>
    </xf>
    <xf numFmtId="169" fontId="0" fillId="14" borderId="23" xfId="0" applyNumberFormat="1" applyFill="1" applyBorder="1" applyAlignment="1">
      <alignment vertical="center"/>
    </xf>
    <xf numFmtId="0" fontId="8" fillId="0" borderId="26" xfId="0" applyFont="1" applyBorder="1" applyAlignment="1" applyProtection="1">
      <alignment horizontal="left" vertical="center" wrapText="1"/>
      <protection locked="0"/>
    </xf>
    <xf numFmtId="0" fontId="8" fillId="33" borderId="27" xfId="0" applyFont="1" applyFill="1" applyBorder="1" applyAlignment="1" applyProtection="1">
      <alignment horizontal="center" vertical="center"/>
      <protection locked="0"/>
    </xf>
    <xf numFmtId="169" fontId="0" fillId="14" borderId="27" xfId="0" applyNumberFormat="1" applyFill="1" applyBorder="1" applyAlignment="1">
      <alignment horizontal="center"/>
    </xf>
    <xf numFmtId="169" fontId="0" fillId="14" borderId="19" xfId="1" applyNumberFormat="1" applyFont="1" applyFill="1" applyBorder="1" applyAlignment="1" applyProtection="1">
      <alignment horizontal="center"/>
    </xf>
    <xf numFmtId="9" fontId="0" fillId="14" borderId="19" xfId="2" applyFont="1" applyFill="1" applyBorder="1" applyAlignment="1" applyProtection="1">
      <alignment horizontal="center"/>
    </xf>
    <xf numFmtId="169" fontId="0" fillId="14" borderId="20" xfId="0" applyNumberFormat="1" applyFill="1" applyBorder="1" applyAlignment="1">
      <alignment horizontal="center"/>
    </xf>
    <xf numFmtId="167" fontId="0" fillId="10" borderId="0" xfId="0" applyNumberFormat="1" applyFill="1"/>
    <xf numFmtId="169" fontId="0" fillId="14" borderId="30" xfId="1" applyNumberFormat="1" applyFont="1" applyFill="1" applyBorder="1" applyAlignment="1" applyProtection="1">
      <alignment horizontal="center"/>
    </xf>
    <xf numFmtId="0" fontId="0" fillId="0" borderId="0" xfId="0" applyAlignment="1">
      <alignment horizontal="center"/>
    </xf>
    <xf numFmtId="165" fontId="0" fillId="10" borderId="0" xfId="0" applyNumberFormat="1" applyFill="1"/>
    <xf numFmtId="164" fontId="3" fillId="10" borderId="16" xfId="0" applyNumberFormat="1" applyFont="1" applyFill="1" applyBorder="1"/>
    <xf numFmtId="164" fontId="0" fillId="10" borderId="3" xfId="1" applyNumberFormat="1" applyFont="1" applyFill="1" applyBorder="1"/>
    <xf numFmtId="164" fontId="0" fillId="10" borderId="10" xfId="1" applyNumberFormat="1" applyFont="1" applyFill="1" applyBorder="1"/>
    <xf numFmtId="164" fontId="0" fillId="10" borderId="5" xfId="1" applyNumberFormat="1" applyFont="1" applyFill="1" applyBorder="1"/>
    <xf numFmtId="0" fontId="0" fillId="3" borderId="11" xfId="0" applyFill="1" applyBorder="1"/>
    <xf numFmtId="164" fontId="0" fillId="10" borderId="3" xfId="0" applyNumberFormat="1" applyFill="1" applyBorder="1"/>
    <xf numFmtId="164" fontId="0" fillId="10" borderId="8" xfId="0" applyNumberFormat="1" applyFill="1" applyBorder="1"/>
    <xf numFmtId="164" fontId="0" fillId="10" borderId="10" xfId="0" applyNumberFormat="1" applyFill="1" applyBorder="1"/>
    <xf numFmtId="164" fontId="0" fillId="10" borderId="5" xfId="0" applyNumberFormat="1" applyFill="1" applyBorder="1"/>
    <xf numFmtId="164" fontId="0" fillId="10" borderId="9" xfId="0" applyNumberFormat="1" applyFill="1" applyBorder="1"/>
    <xf numFmtId="168" fontId="3" fillId="0" borderId="16" xfId="0" applyNumberFormat="1" applyFont="1" applyBorder="1"/>
    <xf numFmtId="164" fontId="0" fillId="0" borderId="8" xfId="0" applyNumberFormat="1" applyBorder="1"/>
    <xf numFmtId="0" fontId="6" fillId="0" borderId="0" xfId="0" applyFont="1"/>
    <xf numFmtId="0" fontId="2" fillId="3" borderId="8" xfId="0" applyFont="1" applyFill="1" applyBorder="1" applyAlignment="1" applyProtection="1">
      <alignment horizontal="center" wrapText="1"/>
      <protection locked="0"/>
    </xf>
    <xf numFmtId="0" fontId="8" fillId="29" borderId="34" xfId="0" applyFont="1" applyFill="1" applyBorder="1" applyAlignment="1" applyProtection="1">
      <alignment wrapText="1"/>
      <protection locked="0"/>
    </xf>
    <xf numFmtId="169" fontId="0" fillId="14" borderId="58" xfId="0" applyNumberFormat="1" applyFill="1" applyBorder="1"/>
    <xf numFmtId="169" fontId="0" fillId="14" borderId="40" xfId="0" applyNumberFormat="1" applyFill="1" applyBorder="1"/>
    <xf numFmtId="0" fontId="28" fillId="14" borderId="0" xfId="0" applyFont="1" applyFill="1" applyAlignment="1" applyProtection="1">
      <alignment vertical="top" wrapText="1"/>
      <protection locked="0"/>
    </xf>
    <xf numFmtId="169" fontId="0" fillId="14" borderId="31" xfId="1" applyNumberFormat="1" applyFont="1" applyFill="1" applyBorder="1" applyAlignment="1" applyProtection="1">
      <alignment horizontal="center"/>
    </xf>
    <xf numFmtId="0" fontId="28" fillId="0" borderId="0" xfId="0" applyFont="1" applyAlignment="1">
      <alignment horizontal="left" wrapText="1"/>
    </xf>
    <xf numFmtId="0" fontId="0" fillId="14" borderId="0" xfId="0" applyFill="1" applyAlignment="1">
      <alignment horizontal="left" wrapText="1"/>
    </xf>
    <xf numFmtId="0" fontId="39" fillId="0" borderId="26" xfId="0" applyFont="1" applyBorder="1" applyAlignment="1" applyProtection="1">
      <alignment horizontal="center" vertical="center" wrapText="1"/>
      <protection locked="0"/>
    </xf>
    <xf numFmtId="0" fontId="39" fillId="0" borderId="27" xfId="0" applyFont="1" applyBorder="1" applyAlignment="1" applyProtection="1">
      <alignment horizontal="center" vertical="center" wrapText="1"/>
      <protection locked="0"/>
    </xf>
    <xf numFmtId="0" fontId="12" fillId="0" borderId="0" xfId="0" applyFont="1" applyAlignment="1">
      <alignment vertical="top"/>
    </xf>
    <xf numFmtId="0" fontId="0" fillId="0" borderId="24" xfId="0" applyBorder="1" applyProtection="1">
      <protection locked="0"/>
    </xf>
    <xf numFmtId="0" fontId="3" fillId="0" borderId="18" xfId="0" applyFont="1" applyBorder="1" applyAlignment="1" applyProtection="1">
      <alignment horizontal="center" vertical="center" wrapText="1"/>
      <protection locked="0"/>
    </xf>
    <xf numFmtId="0" fontId="3" fillId="0" borderId="8" xfId="0" applyFont="1" applyBorder="1" applyAlignment="1" applyProtection="1">
      <alignment horizontal="center" vertical="center"/>
      <protection locked="0"/>
    </xf>
    <xf numFmtId="9" fontId="3" fillId="0" borderId="12" xfId="2" applyFont="1" applyFill="1" applyBorder="1" applyAlignment="1" applyProtection="1">
      <alignment horizontal="center" vertical="center" wrapText="1"/>
      <protection locked="0"/>
    </xf>
    <xf numFmtId="9" fontId="0" fillId="3" borderId="0" xfId="2" applyFont="1" applyFill="1" applyBorder="1" applyAlignment="1" applyProtection="1">
      <alignment horizontal="center"/>
    </xf>
    <xf numFmtId="9" fontId="0" fillId="3" borderId="11" xfId="2" applyFont="1" applyFill="1" applyBorder="1" applyAlignment="1" applyProtection="1">
      <alignment horizontal="center"/>
    </xf>
    <xf numFmtId="0" fontId="24" fillId="32" borderId="15" xfId="0" applyFont="1" applyFill="1" applyBorder="1" applyAlignment="1">
      <alignment horizontal="center"/>
    </xf>
    <xf numFmtId="0" fontId="24" fillId="32" borderId="27" xfId="0" applyFont="1" applyFill="1" applyBorder="1" applyAlignment="1">
      <alignment horizontal="center"/>
    </xf>
    <xf numFmtId="169" fontId="4" fillId="3" borderId="15" xfId="1" applyNumberFormat="1" applyFont="1" applyFill="1" applyBorder="1" applyAlignment="1" applyProtection="1">
      <alignment horizontal="center"/>
    </xf>
    <xf numFmtId="9" fontId="4" fillId="3" borderId="27" xfId="2" applyFont="1" applyFill="1" applyBorder="1" applyAlignment="1" applyProtection="1">
      <alignment horizontal="center"/>
    </xf>
    <xf numFmtId="0" fontId="0" fillId="3" borderId="15" xfId="0" applyFill="1" applyBorder="1" applyAlignment="1">
      <alignment horizontal="center"/>
    </xf>
    <xf numFmtId="0" fontId="0" fillId="3" borderId="27" xfId="0" applyFill="1" applyBorder="1" applyAlignment="1">
      <alignment horizontal="center"/>
    </xf>
    <xf numFmtId="9" fontId="4" fillId="3" borderId="15" xfId="2" applyFont="1" applyFill="1" applyBorder="1" applyAlignment="1" applyProtection="1">
      <alignment horizontal="center"/>
    </xf>
    <xf numFmtId="0" fontId="0" fillId="3" borderId="15" xfId="0" applyFill="1" applyBorder="1"/>
    <xf numFmtId="0" fontId="0" fillId="3" borderId="27" xfId="0" applyFill="1" applyBorder="1"/>
    <xf numFmtId="169" fontId="0" fillId="16" borderId="2" xfId="0" applyNumberFormat="1" applyFill="1" applyBorder="1" applyAlignment="1">
      <alignment horizontal="center" vertical="center"/>
    </xf>
    <xf numFmtId="169" fontId="0" fillId="0" borderId="16" xfId="0" applyNumberFormat="1" applyBorder="1" applyProtection="1">
      <protection locked="0"/>
    </xf>
    <xf numFmtId="0" fontId="0" fillId="10" borderId="10" xfId="0" applyFill="1" applyBorder="1"/>
    <xf numFmtId="0" fontId="0" fillId="14" borderId="11" xfId="0" applyFill="1" applyBorder="1" applyAlignment="1">
      <alignment wrapText="1"/>
    </xf>
    <xf numFmtId="0" fontId="0" fillId="14" borderId="0" xfId="0" applyFill="1" applyAlignment="1">
      <alignment wrapText="1"/>
    </xf>
    <xf numFmtId="0" fontId="0" fillId="0" borderId="6" xfId="0" applyBorder="1" applyProtection="1">
      <protection locked="0"/>
    </xf>
    <xf numFmtId="0" fontId="19" fillId="0" borderId="10" xfId="4" applyBorder="1" applyProtection="1">
      <protection locked="0"/>
    </xf>
    <xf numFmtId="0" fontId="19" fillId="0" borderId="5" xfId="4" applyBorder="1" applyProtection="1">
      <protection locked="0"/>
    </xf>
    <xf numFmtId="0" fontId="19" fillId="0" borderId="11" xfId="4" applyBorder="1" applyProtection="1">
      <protection locked="0"/>
    </xf>
    <xf numFmtId="0" fontId="19" fillId="0" borderId="10" xfId="4" applyFill="1" applyBorder="1"/>
    <xf numFmtId="0" fontId="19" fillId="0" borderId="5" xfId="4" applyFill="1" applyBorder="1"/>
    <xf numFmtId="0" fontId="19" fillId="0" borderId="11" xfId="4" applyFill="1" applyBorder="1"/>
    <xf numFmtId="0" fontId="33" fillId="30" borderId="16" xfId="0" applyFont="1" applyFill="1" applyBorder="1" applyAlignment="1" applyProtection="1">
      <alignment horizontal="centerContinuous" vertical="center"/>
      <protection locked="0"/>
    </xf>
    <xf numFmtId="0" fontId="33" fillId="30" borderId="1" xfId="0" applyFont="1" applyFill="1" applyBorder="1" applyAlignment="1" applyProtection="1">
      <alignment horizontal="centerContinuous" vertical="center"/>
      <protection locked="0"/>
    </xf>
    <xf numFmtId="169" fontId="0" fillId="14" borderId="15" xfId="1" applyNumberFormat="1" applyFont="1" applyFill="1" applyBorder="1" applyAlignment="1" applyProtection="1">
      <alignment horizontal="right"/>
    </xf>
    <xf numFmtId="169" fontId="0" fillId="14" borderId="27" xfId="1" applyNumberFormat="1" applyFont="1" applyFill="1" applyBorder="1" applyAlignment="1" applyProtection="1">
      <alignment horizontal="right"/>
    </xf>
    <xf numFmtId="169" fontId="0" fillId="14" borderId="15" xfId="0" applyNumberFormat="1" applyFill="1" applyBorder="1" applyAlignment="1">
      <alignment horizontal="right"/>
    </xf>
    <xf numFmtId="169" fontId="0" fillId="14" borderId="27" xfId="0" applyNumberFormat="1" applyFill="1" applyBorder="1" applyAlignment="1">
      <alignment horizontal="right"/>
    </xf>
    <xf numFmtId="0" fontId="0" fillId="2" borderId="11" xfId="0" applyFill="1" applyBorder="1" applyProtection="1">
      <protection locked="0"/>
    </xf>
    <xf numFmtId="0" fontId="0" fillId="2" borderId="6" xfId="0" applyFill="1" applyBorder="1" applyProtection="1">
      <protection locked="0"/>
    </xf>
    <xf numFmtId="0" fontId="42" fillId="5" borderId="63" xfId="0" applyFont="1" applyFill="1" applyBorder="1" applyAlignment="1" applyProtection="1">
      <alignment vertical="center"/>
      <protection locked="0"/>
    </xf>
    <xf numFmtId="0" fontId="19" fillId="0" borderId="14" xfId="4" applyBorder="1" applyProtection="1">
      <protection locked="0"/>
    </xf>
    <xf numFmtId="0" fontId="19" fillId="0" borderId="13" xfId="4" applyBorder="1" applyProtection="1">
      <protection locked="0"/>
    </xf>
    <xf numFmtId="0" fontId="42" fillId="5" borderId="63" xfId="0" applyFont="1" applyFill="1" applyBorder="1" applyProtection="1">
      <protection locked="0"/>
    </xf>
    <xf numFmtId="0" fontId="0" fillId="10" borderId="0" xfId="0" applyFill="1"/>
    <xf numFmtId="0" fontId="0" fillId="29" borderId="0" xfId="0" quotePrefix="1" applyFill="1" applyAlignment="1">
      <alignment horizontal="left" wrapText="1"/>
    </xf>
    <xf numFmtId="0" fontId="0" fillId="10" borderId="10" xfId="0" applyFill="1" applyBorder="1" applyAlignment="1">
      <alignment horizontal="left" wrapText="1"/>
    </xf>
    <xf numFmtId="0" fontId="0" fillId="10" borderId="0" xfId="0" applyFill="1" applyAlignment="1">
      <alignment horizontal="left" wrapText="1"/>
    </xf>
    <xf numFmtId="0" fontId="0" fillId="10" borderId="11" xfId="0" applyFill="1" applyBorder="1" applyAlignment="1">
      <alignment horizontal="left" wrapText="1"/>
    </xf>
    <xf numFmtId="0" fontId="0" fillId="10" borderId="5" xfId="0" applyFill="1" applyBorder="1" applyAlignment="1">
      <alignment horizontal="left" wrapText="1"/>
    </xf>
    <xf numFmtId="0" fontId="0" fillId="10" borderId="9" xfId="0" applyFill="1" applyBorder="1" applyAlignment="1">
      <alignment horizontal="left" wrapText="1"/>
    </xf>
    <xf numFmtId="0" fontId="0" fillId="10" borderId="6" xfId="0" applyFill="1" applyBorder="1" applyAlignment="1">
      <alignment horizontal="left" wrapText="1"/>
    </xf>
    <xf numFmtId="0" fontId="0" fillId="14" borderId="0" xfId="0" quotePrefix="1" applyFill="1" applyAlignment="1">
      <alignment horizontal="left" wrapText="1"/>
    </xf>
    <xf numFmtId="0" fontId="0" fillId="14" borderId="11" xfId="0" quotePrefix="1" applyFill="1" applyBorder="1" applyAlignment="1">
      <alignment horizontal="left" wrapText="1"/>
    </xf>
    <xf numFmtId="0" fontId="0" fillId="14" borderId="0" xfId="0" applyFill="1" applyAlignment="1">
      <alignment horizontal="left" wrapText="1"/>
    </xf>
    <xf numFmtId="0" fontId="0" fillId="14" borderId="11" xfId="0" applyFill="1" applyBorder="1" applyAlignment="1">
      <alignment horizontal="left" wrapText="1"/>
    </xf>
    <xf numFmtId="0" fontId="0" fillId="14" borderId="10" xfId="0" quotePrefix="1" applyFill="1" applyBorder="1" applyAlignment="1">
      <alignment horizontal="left" vertical="top" wrapText="1"/>
    </xf>
    <xf numFmtId="0" fontId="0" fillId="14" borderId="14" xfId="0" quotePrefix="1" applyFill="1" applyBorder="1" applyAlignment="1">
      <alignment horizontal="left" vertical="top" wrapText="1"/>
    </xf>
    <xf numFmtId="0" fontId="0" fillId="14" borderId="10" xfId="0" applyFill="1" applyBorder="1" applyAlignment="1">
      <alignment horizontal="left" wrapText="1"/>
    </xf>
    <xf numFmtId="0" fontId="0" fillId="14" borderId="14" xfId="0" applyFill="1" applyBorder="1" applyAlignment="1">
      <alignment horizontal="left" wrapText="1"/>
    </xf>
    <xf numFmtId="0" fontId="0" fillId="14" borderId="5" xfId="0" applyFill="1" applyBorder="1" applyAlignment="1">
      <alignment horizontal="left" wrapText="1"/>
    </xf>
    <xf numFmtId="0" fontId="0" fillId="14" borderId="13" xfId="0" applyFill="1" applyBorder="1" applyAlignment="1">
      <alignment horizontal="left" wrapText="1"/>
    </xf>
    <xf numFmtId="0" fontId="0" fillId="14" borderId="10" xfId="0" quotePrefix="1" applyFill="1" applyBorder="1" applyAlignment="1">
      <alignment horizontal="left" wrapText="1"/>
    </xf>
    <xf numFmtId="0" fontId="0" fillId="14" borderId="14" xfId="0" quotePrefix="1" applyFill="1" applyBorder="1" applyAlignment="1">
      <alignment horizontal="left" wrapText="1"/>
    </xf>
    <xf numFmtId="0" fontId="0" fillId="14" borderId="5" xfId="0" quotePrefix="1" applyFill="1" applyBorder="1" applyAlignment="1">
      <alignment horizontal="left" wrapText="1"/>
    </xf>
    <xf numFmtId="0" fontId="0" fillId="14" borderId="13" xfId="0" quotePrefix="1" applyFill="1" applyBorder="1" applyAlignment="1">
      <alignment horizontal="left" wrapText="1"/>
    </xf>
    <xf numFmtId="0" fontId="0" fillId="10" borderId="3" xfId="0" applyFill="1" applyBorder="1" applyAlignment="1">
      <alignment horizontal="left" wrapText="1"/>
    </xf>
    <xf numFmtId="0" fontId="0" fillId="10" borderId="8" xfId="0" applyFill="1" applyBorder="1" applyAlignment="1">
      <alignment horizontal="left" wrapText="1"/>
    </xf>
    <xf numFmtId="0" fontId="0" fillId="10" borderId="4" xfId="0" applyFill="1" applyBorder="1" applyAlignment="1">
      <alignment horizontal="left" wrapText="1"/>
    </xf>
    <xf numFmtId="169" fontId="0" fillId="14" borderId="30" xfId="1" applyNumberFormat="1" applyFont="1" applyFill="1" applyBorder="1" applyAlignment="1" applyProtection="1">
      <alignment horizontal="center" vertical="center"/>
    </xf>
    <xf numFmtId="169" fontId="0" fillId="14" borderId="31" xfId="1" applyNumberFormat="1" applyFont="1" applyFill="1" applyBorder="1" applyAlignment="1" applyProtection="1">
      <alignment horizontal="center" vertical="center"/>
    </xf>
    <xf numFmtId="169" fontId="0" fillId="14" borderId="15" xfId="1" applyNumberFormat="1" applyFont="1" applyFill="1" applyBorder="1" applyAlignment="1" applyProtection="1">
      <alignment horizontal="center" vertical="center"/>
    </xf>
    <xf numFmtId="169" fontId="0" fillId="14" borderId="27" xfId="1" applyNumberFormat="1" applyFont="1" applyFill="1" applyBorder="1" applyAlignment="1" applyProtection="1">
      <alignment horizontal="center" vertical="center"/>
    </xf>
    <xf numFmtId="169" fontId="0" fillId="14" borderId="37" xfId="1" applyNumberFormat="1" applyFont="1" applyFill="1" applyBorder="1" applyAlignment="1" applyProtection="1">
      <alignment horizontal="center" vertical="center"/>
    </xf>
    <xf numFmtId="169" fontId="0" fillId="14" borderId="50" xfId="1" applyNumberFormat="1" applyFont="1" applyFill="1" applyBorder="1" applyAlignment="1" applyProtection="1">
      <alignment horizontal="center" vertical="center"/>
    </xf>
    <xf numFmtId="169" fontId="0" fillId="14" borderId="48" xfId="1" applyNumberFormat="1" applyFont="1" applyFill="1" applyBorder="1" applyAlignment="1" applyProtection="1">
      <alignment horizontal="center" vertical="center"/>
    </xf>
    <xf numFmtId="0" fontId="38" fillId="16" borderId="10" xfId="0" applyFont="1" applyFill="1" applyBorder="1" applyAlignment="1" applyProtection="1">
      <alignment horizontal="center" vertical="center" wrapText="1"/>
      <protection locked="0"/>
    </xf>
    <xf numFmtId="0" fontId="38" fillId="16" borderId="14" xfId="0" applyFont="1" applyFill="1" applyBorder="1" applyAlignment="1" applyProtection="1">
      <alignment horizontal="center" vertical="center" wrapText="1"/>
      <protection locked="0"/>
    </xf>
    <xf numFmtId="0" fontId="2" fillId="7" borderId="42" xfId="0" applyFont="1" applyFill="1" applyBorder="1" applyAlignment="1" applyProtection="1">
      <alignment horizontal="left" vertical="center" wrapText="1"/>
      <protection locked="0"/>
    </xf>
    <xf numFmtId="0" fontId="2" fillId="7" borderId="44" xfId="0" applyFont="1" applyFill="1" applyBorder="1" applyAlignment="1" applyProtection="1">
      <alignment horizontal="left" vertical="center" wrapText="1"/>
      <protection locked="0"/>
    </xf>
    <xf numFmtId="0" fontId="2" fillId="7" borderId="48" xfId="0" applyFont="1" applyFill="1" applyBorder="1" applyAlignment="1" applyProtection="1">
      <alignment horizontal="left" vertical="center" wrapText="1"/>
      <protection locked="0"/>
    </xf>
    <xf numFmtId="0" fontId="38" fillId="16" borderId="46" xfId="0" applyFont="1" applyFill="1" applyBorder="1" applyAlignment="1" applyProtection="1">
      <alignment horizontal="center" vertical="center" wrapText="1"/>
      <protection locked="0"/>
    </xf>
    <xf numFmtId="0" fontId="38" fillId="16" borderId="39" xfId="0" applyFont="1" applyFill="1" applyBorder="1" applyAlignment="1" applyProtection="1">
      <alignment horizontal="center" vertical="center" wrapText="1"/>
      <protection locked="0"/>
    </xf>
    <xf numFmtId="0" fontId="38" fillId="16" borderId="47" xfId="0" applyFont="1" applyFill="1" applyBorder="1" applyAlignment="1" applyProtection="1">
      <alignment horizontal="center" vertical="center" wrapText="1"/>
      <protection locked="0"/>
    </xf>
    <xf numFmtId="0" fontId="2" fillId="8" borderId="3" xfId="0" applyFont="1" applyFill="1" applyBorder="1" applyAlignment="1" applyProtection="1">
      <alignment horizontal="center" vertical="center" wrapText="1"/>
      <protection locked="0"/>
    </xf>
    <xf numFmtId="0" fontId="2" fillId="8" borderId="8" xfId="0" applyFont="1" applyFill="1" applyBorder="1" applyAlignment="1" applyProtection="1">
      <alignment horizontal="center" vertical="center" wrapText="1"/>
      <protection locked="0"/>
    </xf>
    <xf numFmtId="0" fontId="2" fillId="8" borderId="4" xfId="0" applyFont="1" applyFill="1" applyBorder="1" applyAlignment="1" applyProtection="1">
      <alignment horizontal="center" vertical="center" wrapText="1"/>
      <protection locked="0"/>
    </xf>
    <xf numFmtId="0" fontId="2" fillId="4" borderId="3" xfId="0" applyFont="1" applyFill="1" applyBorder="1" applyAlignment="1" applyProtection="1">
      <alignment horizontal="center" vertical="center" wrapText="1"/>
      <protection locked="0"/>
    </xf>
    <xf numFmtId="0" fontId="2" fillId="4" borderId="8" xfId="0" applyFont="1" applyFill="1" applyBorder="1" applyAlignment="1" applyProtection="1">
      <alignment horizontal="center" vertical="center" wrapText="1"/>
      <protection locked="0"/>
    </xf>
    <xf numFmtId="0" fontId="2" fillId="4" borderId="4" xfId="0" applyFont="1" applyFill="1" applyBorder="1" applyAlignment="1" applyProtection="1">
      <alignment horizontal="center" vertical="center" wrapText="1"/>
      <protection locked="0"/>
    </xf>
    <xf numFmtId="0" fontId="38" fillId="16" borderId="10" xfId="0" applyFont="1" applyFill="1" applyBorder="1" applyAlignment="1" applyProtection="1">
      <alignment horizontal="center" vertical="top" wrapText="1"/>
      <protection locked="0"/>
    </xf>
    <xf numFmtId="0" fontId="38" fillId="16" borderId="0" xfId="0" applyFont="1" applyFill="1" applyAlignment="1" applyProtection="1">
      <alignment horizontal="center" vertical="top" wrapText="1"/>
      <protection locked="0"/>
    </xf>
    <xf numFmtId="0" fontId="38" fillId="16" borderId="11" xfId="0" applyFont="1" applyFill="1" applyBorder="1" applyAlignment="1" applyProtection="1">
      <alignment horizontal="center" vertical="top" wrapText="1"/>
      <protection locked="0"/>
    </xf>
    <xf numFmtId="0" fontId="38" fillId="16" borderId="46" xfId="0" applyFont="1" applyFill="1" applyBorder="1" applyAlignment="1" applyProtection="1">
      <alignment horizontal="center" vertical="top" wrapText="1"/>
      <protection locked="0"/>
    </xf>
    <xf numFmtId="0" fontId="38" fillId="16" borderId="39" xfId="0" applyFont="1" applyFill="1" applyBorder="1" applyAlignment="1" applyProtection="1">
      <alignment horizontal="center" vertical="top" wrapText="1"/>
      <protection locked="0"/>
    </xf>
    <xf numFmtId="0" fontId="38" fillId="16" borderId="47" xfId="0" applyFont="1" applyFill="1" applyBorder="1" applyAlignment="1" applyProtection="1">
      <alignment horizontal="center" vertical="top" wrapText="1"/>
      <protection locked="0"/>
    </xf>
    <xf numFmtId="0" fontId="3" fillId="0" borderId="37" xfId="0" applyFont="1" applyBorder="1" applyAlignment="1" applyProtection="1">
      <alignment horizontal="center" vertical="center" wrapText="1"/>
      <protection locked="0"/>
    </xf>
    <xf numFmtId="0" fontId="3" fillId="0" borderId="50" xfId="0" applyFont="1" applyBorder="1" applyAlignment="1" applyProtection="1">
      <alignment horizontal="center" vertical="center" wrapText="1"/>
      <protection locked="0"/>
    </xf>
    <xf numFmtId="0" fontId="3" fillId="0" borderId="44" xfId="0" applyFont="1" applyBorder="1" applyAlignment="1" applyProtection="1">
      <alignment horizontal="center" vertical="center" wrapText="1"/>
      <protection locked="0"/>
    </xf>
    <xf numFmtId="0" fontId="3" fillId="0" borderId="48" xfId="0" applyFont="1" applyBorder="1" applyAlignment="1" applyProtection="1">
      <alignment horizontal="center" vertical="center" wrapText="1"/>
      <protection locked="0"/>
    </xf>
    <xf numFmtId="0" fontId="30" fillId="16" borderId="24" xfId="0" applyFont="1" applyFill="1" applyBorder="1" applyAlignment="1" applyProtection="1">
      <alignment horizontal="left" vertical="center" wrapText="1"/>
      <protection locked="0"/>
    </xf>
    <xf numFmtId="0" fontId="30" fillId="16" borderId="63" xfId="0" applyFont="1" applyFill="1" applyBorder="1" applyAlignment="1" applyProtection="1">
      <alignment horizontal="left" vertical="center" wrapText="1"/>
      <protection locked="0"/>
    </xf>
    <xf numFmtId="0" fontId="2" fillId="3" borderId="16" xfId="0" applyFont="1" applyFill="1" applyBorder="1" applyAlignment="1" applyProtection="1">
      <alignment horizontal="center"/>
      <protection locked="0"/>
    </xf>
    <xf numFmtId="0" fontId="2" fillId="3" borderId="1" xfId="0" applyFont="1" applyFill="1" applyBorder="1" applyAlignment="1" applyProtection="1">
      <alignment horizontal="center"/>
      <protection locked="0"/>
    </xf>
    <xf numFmtId="0" fontId="2" fillId="7" borderId="3" xfId="0" applyFont="1" applyFill="1" applyBorder="1" applyAlignment="1" applyProtection="1">
      <alignment horizontal="center" vertical="center" wrapText="1"/>
      <protection locked="0"/>
    </xf>
    <xf numFmtId="0" fontId="2" fillId="7" borderId="12" xfId="0" applyFont="1" applyFill="1" applyBorder="1" applyAlignment="1" applyProtection="1">
      <alignment horizontal="center" vertical="center" wrapText="1"/>
      <protection locked="0"/>
    </xf>
    <xf numFmtId="0" fontId="38" fillId="16" borderId="10" xfId="0" applyFont="1" applyFill="1" applyBorder="1" applyAlignment="1" applyProtection="1">
      <alignment horizontal="center" vertical="center"/>
      <protection locked="0"/>
    </xf>
    <xf numFmtId="0" fontId="38" fillId="16" borderId="0" xfId="0" applyFont="1" applyFill="1" applyAlignment="1" applyProtection="1">
      <alignment horizontal="center" vertical="center"/>
      <protection locked="0"/>
    </xf>
    <xf numFmtId="0" fontId="38" fillId="16" borderId="11" xfId="0" applyFont="1" applyFill="1" applyBorder="1" applyAlignment="1" applyProtection="1">
      <alignment horizontal="center" vertical="center"/>
      <protection locked="0"/>
    </xf>
    <xf numFmtId="0" fontId="39" fillId="16" borderId="10" xfId="0" applyFont="1" applyFill="1" applyBorder="1" applyAlignment="1" applyProtection="1">
      <alignment horizontal="center" vertical="center"/>
      <protection locked="0"/>
    </xf>
    <xf numFmtId="0" fontId="39" fillId="16" borderId="0" xfId="0" applyFont="1" applyFill="1" applyAlignment="1" applyProtection="1">
      <alignment horizontal="center" vertical="center"/>
      <protection locked="0"/>
    </xf>
    <xf numFmtId="0" fontId="39" fillId="16" borderId="11" xfId="0" applyFont="1" applyFill="1" applyBorder="1" applyAlignment="1" applyProtection="1">
      <alignment horizontal="center" vertical="center"/>
      <protection locked="0"/>
    </xf>
    <xf numFmtId="0" fontId="2" fillId="5" borderId="3" xfId="0" applyFont="1" applyFill="1" applyBorder="1" applyAlignment="1" applyProtection="1">
      <alignment horizontal="center" vertical="center"/>
      <protection locked="0"/>
    </xf>
    <xf numFmtId="0" fontId="2" fillId="5" borderId="8" xfId="0" applyFont="1" applyFill="1" applyBorder="1" applyAlignment="1" applyProtection="1">
      <alignment horizontal="center" vertical="center"/>
      <protection locked="0"/>
    </xf>
    <xf numFmtId="0" fontId="2" fillId="5" borderId="4" xfId="0" applyFont="1" applyFill="1" applyBorder="1" applyAlignment="1" applyProtection="1">
      <alignment horizontal="center" vertical="center"/>
      <protection locked="0"/>
    </xf>
    <xf numFmtId="9" fontId="38" fillId="16" borderId="10" xfId="2" applyFont="1" applyFill="1" applyBorder="1" applyAlignment="1" applyProtection="1">
      <alignment horizontal="center" vertical="center" wrapText="1"/>
      <protection locked="0"/>
    </xf>
    <xf numFmtId="9" fontId="38" fillId="16" borderId="0" xfId="2" applyFont="1" applyFill="1" applyBorder="1" applyAlignment="1" applyProtection="1">
      <alignment horizontal="center" vertical="center" wrapText="1"/>
      <protection locked="0"/>
    </xf>
    <xf numFmtId="9" fontId="38" fillId="16" borderId="11" xfId="2" applyFont="1" applyFill="1" applyBorder="1" applyAlignment="1" applyProtection="1">
      <alignment horizontal="center" vertical="center" wrapText="1"/>
      <protection locked="0"/>
    </xf>
    <xf numFmtId="9" fontId="2" fillId="5" borderId="3" xfId="2" applyFont="1" applyFill="1" applyBorder="1" applyAlignment="1" applyProtection="1">
      <alignment horizontal="center" vertical="center" wrapText="1"/>
      <protection locked="0"/>
    </xf>
    <xf numFmtId="9" fontId="2" fillId="5" borderId="8" xfId="2" applyFont="1" applyFill="1" applyBorder="1" applyAlignment="1" applyProtection="1">
      <alignment horizontal="center" vertical="center" wrapText="1"/>
      <protection locked="0"/>
    </xf>
    <xf numFmtId="9" fontId="2" fillId="5" borderId="4" xfId="2" applyFont="1" applyFill="1" applyBorder="1" applyAlignment="1" applyProtection="1">
      <alignment horizontal="center" vertical="center" wrapText="1"/>
      <protection locked="0"/>
    </xf>
    <xf numFmtId="169" fontId="8" fillId="29" borderId="16" xfId="1" applyNumberFormat="1" applyFont="1" applyFill="1" applyBorder="1" applyAlignment="1" applyProtection="1">
      <alignment horizontal="left" wrapText="1"/>
      <protection locked="0"/>
    </xf>
    <xf numFmtId="169" fontId="8" fillId="29" borderId="7" xfId="1" applyNumberFormat="1" applyFont="1" applyFill="1" applyBorder="1" applyAlignment="1" applyProtection="1">
      <alignment horizontal="left" wrapText="1"/>
      <protection locked="0"/>
    </xf>
    <xf numFmtId="169" fontId="8" fillId="29" borderId="71" xfId="1" applyNumberFormat="1" applyFont="1" applyFill="1" applyBorder="1" applyAlignment="1" applyProtection="1">
      <alignment horizontal="left" wrapText="1"/>
      <protection locked="0"/>
    </xf>
    <xf numFmtId="169" fontId="6" fillId="14" borderId="78" xfId="1" applyNumberFormat="1" applyFont="1" applyFill="1" applyBorder="1" applyAlignment="1" applyProtection="1">
      <alignment horizontal="center" vertical="center" wrapText="1"/>
    </xf>
    <xf numFmtId="169" fontId="6" fillId="14" borderId="2" xfId="1" applyNumberFormat="1" applyFont="1" applyFill="1" applyBorder="1" applyAlignment="1" applyProtection="1">
      <alignment horizontal="center" vertical="center" wrapText="1"/>
    </xf>
    <xf numFmtId="0" fontId="2" fillId="6" borderId="3" xfId="0" applyFont="1" applyFill="1" applyBorder="1" applyAlignment="1" applyProtection="1">
      <alignment horizontal="center" vertical="center"/>
      <protection locked="0"/>
    </xf>
    <xf numFmtId="0" fontId="2" fillId="6" borderId="8" xfId="0" applyFont="1" applyFill="1" applyBorder="1" applyAlignment="1" applyProtection="1">
      <alignment horizontal="center" vertical="center"/>
      <protection locked="0"/>
    </xf>
    <xf numFmtId="0" fontId="2" fillId="6" borderId="4" xfId="0" applyFont="1" applyFill="1" applyBorder="1" applyAlignment="1" applyProtection="1">
      <alignment horizontal="center" vertical="center"/>
      <protection locked="0"/>
    </xf>
    <xf numFmtId="0" fontId="39" fillId="16" borderId="10" xfId="0" applyFont="1" applyFill="1" applyBorder="1" applyAlignment="1" applyProtection="1">
      <alignment horizontal="center" vertical="center" wrapText="1"/>
      <protection locked="0"/>
    </xf>
    <xf numFmtId="0" fontId="39" fillId="16" borderId="11" xfId="0" applyFont="1" applyFill="1" applyBorder="1" applyAlignment="1" applyProtection="1">
      <alignment horizontal="center" vertical="center" wrapText="1"/>
      <protection locked="0"/>
    </xf>
    <xf numFmtId="169" fontId="0" fillId="14" borderId="43" xfId="1" applyNumberFormat="1" applyFont="1" applyFill="1" applyBorder="1" applyAlignment="1" applyProtection="1">
      <alignment horizontal="center"/>
    </xf>
    <xf numFmtId="169" fontId="0" fillId="14" borderId="60" xfId="1" applyNumberFormat="1" applyFont="1" applyFill="1" applyBorder="1" applyAlignment="1" applyProtection="1">
      <alignment horizontal="center"/>
    </xf>
    <xf numFmtId="169" fontId="0" fillId="14" borderId="38" xfId="0" applyNumberFormat="1" applyFill="1" applyBorder="1" applyAlignment="1">
      <alignment horizontal="center"/>
    </xf>
    <xf numFmtId="169" fontId="0" fillId="14" borderId="60" xfId="0" applyNumberFormat="1" applyFill="1" applyBorder="1" applyAlignment="1">
      <alignment horizontal="center"/>
    </xf>
    <xf numFmtId="0" fontId="2" fillId="3" borderId="0" xfId="0" applyFont="1" applyFill="1" applyAlignment="1" applyProtection="1">
      <alignment horizontal="center" vertical="center"/>
      <protection locked="0"/>
    </xf>
    <xf numFmtId="0" fontId="2" fillId="3" borderId="51" xfId="0" applyFont="1" applyFill="1" applyBorder="1" applyAlignment="1" applyProtection="1">
      <alignment horizontal="center" vertical="center"/>
      <protection locked="0"/>
    </xf>
    <xf numFmtId="0" fontId="2" fillId="3" borderId="31" xfId="0" applyFont="1" applyFill="1" applyBorder="1" applyAlignment="1" applyProtection="1">
      <alignment horizontal="center" vertical="center"/>
      <protection locked="0"/>
    </xf>
    <xf numFmtId="0" fontId="2" fillId="5" borderId="3" xfId="0" applyFont="1" applyFill="1" applyBorder="1" applyAlignment="1" applyProtection="1">
      <alignment horizontal="center" vertical="center" wrapText="1"/>
      <protection locked="0"/>
    </xf>
    <xf numFmtId="0" fontId="2" fillId="5" borderId="4" xfId="0" applyFont="1" applyFill="1" applyBorder="1" applyAlignment="1" applyProtection="1">
      <alignment horizontal="center" vertical="center" wrapText="1"/>
      <protection locked="0"/>
    </xf>
    <xf numFmtId="0" fontId="2" fillId="3" borderId="37" xfId="0" applyFont="1" applyFill="1" applyBorder="1" applyAlignment="1" applyProtection="1">
      <alignment horizontal="center" vertical="center"/>
      <protection locked="0"/>
    </xf>
    <xf numFmtId="0" fontId="2" fillId="3" borderId="50" xfId="0" applyFont="1" applyFill="1" applyBorder="1" applyAlignment="1" applyProtection="1">
      <alignment horizontal="center" vertical="center"/>
      <protection locked="0"/>
    </xf>
    <xf numFmtId="0" fontId="30" fillId="16" borderId="68" xfId="0" applyFont="1" applyFill="1" applyBorder="1" applyAlignment="1" applyProtection="1">
      <alignment horizontal="left" vertical="center" wrapText="1"/>
      <protection locked="0"/>
    </xf>
    <xf numFmtId="0" fontId="30" fillId="16" borderId="17" xfId="0" applyFont="1" applyFill="1" applyBorder="1" applyAlignment="1" applyProtection="1">
      <alignment horizontal="left" vertical="center" wrapText="1"/>
      <protection locked="0"/>
    </xf>
    <xf numFmtId="0" fontId="30" fillId="16" borderId="36" xfId="0" applyFont="1" applyFill="1" applyBorder="1" applyAlignment="1" applyProtection="1">
      <alignment horizontal="left" vertical="center" wrapText="1"/>
      <protection locked="0"/>
    </xf>
    <xf numFmtId="0" fontId="30" fillId="16" borderId="18" xfId="0" applyFont="1" applyFill="1" applyBorder="1" applyAlignment="1" applyProtection="1">
      <alignment horizontal="left" vertical="center" wrapText="1"/>
      <protection locked="0"/>
    </xf>
    <xf numFmtId="0" fontId="2" fillId="3" borderId="7" xfId="0" applyFont="1" applyFill="1" applyBorder="1" applyAlignment="1" applyProtection="1">
      <alignment horizontal="center"/>
      <protection locked="0"/>
    </xf>
    <xf numFmtId="0" fontId="2" fillId="3" borderId="2" xfId="0" applyFont="1" applyFill="1" applyBorder="1" applyAlignment="1" applyProtection="1">
      <alignment horizontal="center"/>
      <protection locked="0"/>
    </xf>
    <xf numFmtId="0" fontId="2" fillId="3" borderId="42" xfId="0" applyFont="1" applyFill="1" applyBorder="1" applyAlignment="1" applyProtection="1">
      <alignment horizontal="center" vertical="center"/>
      <protection locked="0"/>
    </xf>
    <xf numFmtId="0" fontId="2" fillId="3" borderId="16" xfId="0" applyFont="1" applyFill="1" applyBorder="1" applyAlignment="1" applyProtection="1">
      <alignment horizontal="center" vertical="center" wrapText="1"/>
      <protection locked="0"/>
    </xf>
    <xf numFmtId="0" fontId="2" fillId="3" borderId="1" xfId="0" applyFont="1" applyFill="1" applyBorder="1" applyAlignment="1" applyProtection="1">
      <alignment horizontal="center" vertical="center" wrapText="1"/>
      <protection locked="0"/>
    </xf>
    <xf numFmtId="0" fontId="39" fillId="16" borderId="16" xfId="0" applyFont="1" applyFill="1" applyBorder="1" applyAlignment="1" applyProtection="1">
      <alignment horizontal="center" vertical="center" wrapText="1"/>
      <protection locked="0"/>
    </xf>
    <xf numFmtId="0" fontId="39" fillId="16" borderId="1" xfId="0" applyFont="1" applyFill="1" applyBorder="1" applyAlignment="1" applyProtection="1">
      <alignment horizontal="center" vertical="center" wrapText="1"/>
      <protection locked="0"/>
    </xf>
    <xf numFmtId="0" fontId="28" fillId="0" borderId="0" xfId="0" applyFont="1" applyAlignment="1">
      <alignment horizontal="left" wrapText="1"/>
    </xf>
    <xf numFmtId="0" fontId="8" fillId="15" borderId="3" xfId="0" applyFont="1" applyFill="1" applyBorder="1" applyAlignment="1" applyProtection="1">
      <alignment horizontal="center" vertical="center"/>
      <protection locked="0"/>
    </xf>
    <xf numFmtId="0" fontId="8" fillId="15" borderId="4" xfId="0" applyFont="1" applyFill="1" applyBorder="1" applyAlignment="1" applyProtection="1">
      <alignment horizontal="center" vertical="center"/>
      <protection locked="0"/>
    </xf>
    <xf numFmtId="0" fontId="38" fillId="16" borderId="46" xfId="0" applyFont="1" applyFill="1" applyBorder="1" applyAlignment="1" applyProtection="1">
      <alignment horizontal="center" vertical="center"/>
      <protection locked="0"/>
    </xf>
    <xf numFmtId="0" fontId="38" fillId="16" borderId="47" xfId="0" applyFont="1" applyFill="1" applyBorder="1" applyAlignment="1" applyProtection="1">
      <alignment horizontal="center" vertical="center"/>
      <protection locked="0"/>
    </xf>
    <xf numFmtId="0" fontId="30" fillId="16" borderId="66" xfId="0" applyFont="1" applyFill="1" applyBorder="1" applyAlignment="1" applyProtection="1">
      <alignment horizontal="center" vertical="center" wrapText="1"/>
      <protection locked="0"/>
    </xf>
    <xf numFmtId="0" fontId="30" fillId="16" borderId="67" xfId="0" applyFont="1" applyFill="1" applyBorder="1" applyAlignment="1" applyProtection="1">
      <alignment horizontal="center" vertical="center" wrapText="1"/>
      <protection locked="0"/>
    </xf>
    <xf numFmtId="0" fontId="30" fillId="16" borderId="62" xfId="0" applyFont="1" applyFill="1" applyBorder="1" applyAlignment="1" applyProtection="1">
      <alignment horizontal="center" vertical="center" wrapText="1"/>
      <protection locked="0"/>
    </xf>
    <xf numFmtId="0" fontId="30" fillId="16" borderId="10" xfId="0" applyFont="1" applyFill="1" applyBorder="1" applyAlignment="1" applyProtection="1">
      <alignment horizontal="center" vertical="center" wrapText="1"/>
      <protection locked="0"/>
    </xf>
    <xf numFmtId="0" fontId="30" fillId="16" borderId="0" xfId="0" applyFont="1" applyFill="1" applyAlignment="1" applyProtection="1">
      <alignment horizontal="center" vertical="center" wrapText="1"/>
      <protection locked="0"/>
    </xf>
    <xf numFmtId="0" fontId="30" fillId="16" borderId="11" xfId="0" applyFont="1" applyFill="1" applyBorder="1" applyAlignment="1" applyProtection="1">
      <alignment horizontal="center" vertical="center" wrapText="1"/>
      <protection locked="0"/>
    </xf>
    <xf numFmtId="0" fontId="30" fillId="16" borderId="5" xfId="0" applyFont="1" applyFill="1" applyBorder="1" applyAlignment="1" applyProtection="1">
      <alignment horizontal="center" vertical="center" wrapText="1"/>
      <protection locked="0"/>
    </xf>
    <xf numFmtId="0" fontId="30" fillId="16" borderId="9" xfId="0" applyFont="1" applyFill="1" applyBorder="1" applyAlignment="1" applyProtection="1">
      <alignment horizontal="center" vertical="center" wrapText="1"/>
      <protection locked="0"/>
    </xf>
    <xf numFmtId="0" fontId="30" fillId="16" borderId="6" xfId="0" applyFont="1" applyFill="1" applyBorder="1" applyAlignment="1" applyProtection="1">
      <alignment horizontal="center" vertical="center" wrapText="1"/>
      <protection locked="0"/>
    </xf>
    <xf numFmtId="0" fontId="42" fillId="5" borderId="41" xfId="0" applyFont="1" applyFill="1" applyBorder="1" applyAlignment="1" applyProtection="1">
      <alignment horizontal="center" vertical="center"/>
      <protection locked="0"/>
    </xf>
    <xf numFmtId="0" fontId="42" fillId="5" borderId="45" xfId="0" applyFont="1" applyFill="1" applyBorder="1" applyAlignment="1" applyProtection="1">
      <alignment horizontal="center" vertical="center"/>
      <protection locked="0"/>
    </xf>
    <xf numFmtId="169" fontId="0" fillId="16" borderId="15" xfId="0" applyNumberFormat="1" applyFill="1" applyBorder="1" applyAlignment="1">
      <alignment horizontal="center"/>
    </xf>
    <xf numFmtId="0" fontId="3" fillId="0" borderId="15" xfId="0" applyFont="1" applyBorder="1" applyAlignment="1" applyProtection="1">
      <alignment horizontal="left"/>
      <protection locked="0"/>
    </xf>
    <xf numFmtId="0" fontId="30" fillId="16" borderId="51" xfId="0" applyFont="1" applyFill="1" applyBorder="1" applyAlignment="1" applyProtection="1">
      <alignment horizontal="left" vertical="center" wrapText="1"/>
      <protection locked="0"/>
    </xf>
    <xf numFmtId="0" fontId="30" fillId="16" borderId="67" xfId="0" applyFont="1" applyFill="1" applyBorder="1" applyAlignment="1" applyProtection="1">
      <alignment horizontal="left" vertical="center" wrapText="1"/>
      <protection locked="0"/>
    </xf>
    <xf numFmtId="0" fontId="30" fillId="16" borderId="49" xfId="0" applyFont="1" applyFill="1" applyBorder="1" applyAlignment="1" applyProtection="1">
      <alignment horizontal="left" vertical="center" wrapText="1"/>
      <protection locked="0"/>
    </xf>
    <xf numFmtId="0" fontId="30" fillId="16" borderId="70" xfId="0" applyFont="1" applyFill="1" applyBorder="1" applyAlignment="1" applyProtection="1">
      <alignment horizontal="left" vertical="center" wrapText="1"/>
      <protection locked="0"/>
    </xf>
    <xf numFmtId="0" fontId="30" fillId="16" borderId="0" xfId="0" applyFont="1" applyFill="1" applyAlignment="1" applyProtection="1">
      <alignment horizontal="left" vertical="center" wrapText="1"/>
      <protection locked="0"/>
    </xf>
    <xf numFmtId="0" fontId="30" fillId="16" borderId="57" xfId="0" applyFont="1" applyFill="1" applyBorder="1" applyAlignment="1" applyProtection="1">
      <alignment horizontal="left" vertical="center" wrapText="1"/>
      <protection locked="0"/>
    </xf>
    <xf numFmtId="0" fontId="30" fillId="16" borderId="79" xfId="0" applyFont="1" applyFill="1" applyBorder="1" applyAlignment="1" applyProtection="1">
      <alignment horizontal="left" vertical="center" wrapText="1"/>
      <protection locked="0"/>
    </xf>
    <xf numFmtId="0" fontId="30" fillId="16" borderId="39" xfId="0" applyFont="1" applyFill="1" applyBorder="1" applyAlignment="1" applyProtection="1">
      <alignment horizontal="left" vertical="center" wrapText="1"/>
      <protection locked="0"/>
    </xf>
    <xf numFmtId="0" fontId="30" fillId="16" borderId="69" xfId="0" applyFont="1" applyFill="1" applyBorder="1" applyAlignment="1" applyProtection="1">
      <alignment horizontal="left" vertical="center" wrapText="1"/>
      <protection locked="0"/>
    </xf>
    <xf numFmtId="0" fontId="2" fillId="3" borderId="39" xfId="0" applyFont="1" applyFill="1" applyBorder="1" applyAlignment="1" applyProtection="1">
      <alignment horizontal="center" vertical="center"/>
      <protection locked="0"/>
    </xf>
    <xf numFmtId="0" fontId="2" fillId="3" borderId="27" xfId="0" applyFont="1" applyFill="1" applyBorder="1" applyAlignment="1" applyProtection="1">
      <alignment horizontal="center" vertical="center"/>
      <protection locked="0"/>
    </xf>
    <xf numFmtId="0" fontId="3" fillId="0" borderId="15" xfId="0" applyFont="1" applyBorder="1" applyAlignment="1" applyProtection="1">
      <alignment horizontal="left" vertical="center" wrapText="1"/>
      <protection locked="0"/>
    </xf>
    <xf numFmtId="169" fontId="6" fillId="14" borderId="37" xfId="0" applyNumberFormat="1" applyFont="1" applyFill="1" applyBorder="1" applyAlignment="1">
      <alignment horizontal="center" vertical="center"/>
    </xf>
    <xf numFmtId="169" fontId="6" fillId="14" borderId="27" xfId="0" applyNumberFormat="1" applyFont="1" applyFill="1" applyBorder="1" applyAlignment="1">
      <alignment horizontal="center" vertical="center"/>
    </xf>
    <xf numFmtId="0" fontId="2" fillId="3" borderId="15" xfId="0" applyFont="1" applyFill="1" applyBorder="1" applyAlignment="1" applyProtection="1">
      <alignment horizontal="center" vertical="center"/>
      <protection locked="0"/>
    </xf>
    <xf numFmtId="0" fontId="0" fillId="0" borderId="37" xfId="0" applyBorder="1" applyAlignment="1" applyProtection="1">
      <alignment horizontal="center"/>
      <protection locked="0"/>
    </xf>
    <xf numFmtId="0" fontId="0" fillId="0" borderId="50" xfId="0" applyBorder="1" applyAlignment="1" applyProtection="1">
      <alignment horizontal="center"/>
      <protection locked="0"/>
    </xf>
    <xf numFmtId="0" fontId="3" fillId="15" borderId="16" xfId="0" applyFont="1" applyFill="1" applyBorder="1" applyAlignment="1" applyProtection="1">
      <alignment horizontal="center" vertical="center"/>
      <protection locked="0"/>
    </xf>
    <xf numFmtId="0" fontId="3" fillId="15" borderId="7" xfId="0" applyFont="1" applyFill="1" applyBorder="1" applyAlignment="1" applyProtection="1">
      <alignment horizontal="center" vertical="center"/>
      <protection locked="0"/>
    </xf>
    <xf numFmtId="0" fontId="3" fillId="15" borderId="2" xfId="0" applyFont="1" applyFill="1" applyBorder="1" applyAlignment="1" applyProtection="1">
      <alignment horizontal="center" vertical="center"/>
      <protection locked="0"/>
    </xf>
    <xf numFmtId="0" fontId="38" fillId="16" borderId="5" xfId="0" applyFont="1" applyFill="1" applyBorder="1" applyAlignment="1" applyProtection="1">
      <alignment horizontal="center" vertical="center" wrapText="1"/>
      <protection locked="0"/>
    </xf>
    <xf numFmtId="0" fontId="38" fillId="16" borderId="9" xfId="0" applyFont="1" applyFill="1" applyBorder="1" applyAlignment="1" applyProtection="1">
      <alignment horizontal="center" vertical="center" wrapText="1"/>
      <protection locked="0"/>
    </xf>
    <xf numFmtId="0" fontId="38" fillId="16" borderId="6" xfId="0" applyFont="1" applyFill="1" applyBorder="1" applyAlignment="1" applyProtection="1">
      <alignment horizontal="center" vertical="center" wrapText="1"/>
      <protection locked="0"/>
    </xf>
    <xf numFmtId="0" fontId="3" fillId="15" borderId="3" xfId="0" applyFont="1" applyFill="1" applyBorder="1" applyAlignment="1" applyProtection="1">
      <alignment horizontal="center" vertical="center"/>
      <protection locked="0"/>
    </xf>
    <xf numFmtId="0" fontId="3" fillId="15" borderId="8" xfId="0" applyFont="1" applyFill="1" applyBorder="1" applyAlignment="1" applyProtection="1">
      <alignment horizontal="center" vertical="center"/>
      <protection locked="0"/>
    </xf>
    <xf numFmtId="0" fontId="3" fillId="15" borderId="4" xfId="0" applyFont="1" applyFill="1" applyBorder="1" applyAlignment="1" applyProtection="1">
      <alignment horizontal="center" vertical="center"/>
      <protection locked="0"/>
    </xf>
    <xf numFmtId="169" fontId="0" fillId="14" borderId="15" xfId="1" applyNumberFormat="1" applyFont="1" applyFill="1" applyBorder="1" applyAlignment="1" applyProtection="1">
      <alignment horizontal="center"/>
    </xf>
    <xf numFmtId="0" fontId="38" fillId="16" borderId="16" xfId="0" applyFont="1" applyFill="1" applyBorder="1" applyAlignment="1" applyProtection="1">
      <alignment horizontal="center" wrapText="1"/>
      <protection locked="0"/>
    </xf>
    <xf numFmtId="0" fontId="38" fillId="16" borderId="7" xfId="0" applyFont="1" applyFill="1" applyBorder="1" applyAlignment="1" applyProtection="1">
      <alignment horizontal="center" wrapText="1"/>
      <protection locked="0"/>
    </xf>
    <xf numFmtId="0" fontId="38" fillId="16" borderId="2" xfId="0" applyFont="1" applyFill="1" applyBorder="1" applyAlignment="1" applyProtection="1">
      <alignment horizontal="center" wrapText="1"/>
      <protection locked="0"/>
    </xf>
    <xf numFmtId="0" fontId="2" fillId="5" borderId="16" xfId="0" applyFont="1" applyFill="1" applyBorder="1" applyAlignment="1" applyProtection="1">
      <alignment horizontal="center" vertical="center"/>
      <protection locked="0"/>
    </xf>
    <xf numFmtId="0" fontId="2" fillId="5" borderId="7" xfId="0" applyFont="1" applyFill="1" applyBorder="1" applyAlignment="1" applyProtection="1">
      <alignment horizontal="center" vertical="center"/>
      <protection locked="0"/>
    </xf>
    <xf numFmtId="0" fontId="2" fillId="5" borderId="2" xfId="0" applyFont="1" applyFill="1" applyBorder="1" applyAlignment="1" applyProtection="1">
      <alignment horizontal="center" vertical="center"/>
      <protection locked="0"/>
    </xf>
    <xf numFmtId="0" fontId="26" fillId="28" borderId="3" xfId="0" applyFont="1" applyFill="1" applyBorder="1" applyAlignment="1" applyProtection="1">
      <alignment horizontal="center" vertical="center" wrapText="1"/>
      <protection locked="0"/>
    </xf>
    <xf numFmtId="0" fontId="26" fillId="28" borderId="8" xfId="0" applyFont="1" applyFill="1" applyBorder="1" applyAlignment="1" applyProtection="1">
      <alignment horizontal="center" vertical="center" wrapText="1"/>
      <protection locked="0"/>
    </xf>
    <xf numFmtId="0" fontId="26" fillId="28" borderId="4" xfId="0" applyFont="1" applyFill="1" applyBorder="1" applyAlignment="1" applyProtection="1">
      <alignment horizontal="center" vertical="center" wrapText="1"/>
      <protection locked="0"/>
    </xf>
    <xf numFmtId="0" fontId="38" fillId="16" borderId="16" xfId="0" applyFont="1" applyFill="1" applyBorder="1" applyAlignment="1" applyProtection="1">
      <alignment horizontal="center" vertical="center" wrapText="1"/>
      <protection locked="0"/>
    </xf>
    <xf numFmtId="0" fontId="38" fillId="16" borderId="2" xfId="0" applyFont="1" applyFill="1" applyBorder="1" applyAlignment="1" applyProtection="1">
      <alignment horizontal="center" vertical="center" wrapText="1"/>
      <protection locked="0"/>
    </xf>
    <xf numFmtId="169" fontId="0" fillId="14" borderId="16" xfId="1" applyNumberFormat="1" applyFont="1" applyFill="1" applyBorder="1" applyAlignment="1" applyProtection="1">
      <alignment horizontal="center" vertical="center"/>
    </xf>
    <xf numFmtId="169" fontId="0" fillId="14" borderId="71" xfId="1" applyNumberFormat="1" applyFont="1" applyFill="1" applyBorder="1" applyAlignment="1" applyProtection="1">
      <alignment horizontal="center" vertical="center"/>
    </xf>
    <xf numFmtId="169" fontId="0" fillId="14" borderId="78" xfId="0" applyNumberFormat="1" applyFill="1" applyBorder="1" applyAlignment="1">
      <alignment horizontal="center" vertical="center"/>
    </xf>
    <xf numFmtId="169" fontId="0" fillId="14" borderId="71" xfId="0" applyNumberFormat="1" applyFill="1" applyBorder="1" applyAlignment="1">
      <alignment horizontal="center" vertical="center"/>
    </xf>
    <xf numFmtId="0" fontId="38" fillId="16" borderId="3" xfId="0" applyFont="1" applyFill="1" applyBorder="1" applyAlignment="1" applyProtection="1">
      <alignment horizontal="center" vertical="center" wrapText="1"/>
      <protection locked="0"/>
    </xf>
    <xf numFmtId="0" fontId="38" fillId="16" borderId="8" xfId="0" applyFont="1" applyFill="1" applyBorder="1" applyAlignment="1" applyProtection="1">
      <alignment horizontal="center" vertical="center" wrapText="1"/>
      <protection locked="0"/>
    </xf>
    <xf numFmtId="0" fontId="38" fillId="16" borderId="4" xfId="0" applyFont="1" applyFill="1" applyBorder="1" applyAlignment="1" applyProtection="1">
      <alignment horizontal="center" vertical="center" wrapText="1"/>
      <protection locked="0"/>
    </xf>
    <xf numFmtId="0" fontId="33" fillId="30" borderId="41" xfId="0" applyFont="1" applyFill="1" applyBorder="1" applyAlignment="1" applyProtection="1">
      <alignment horizontal="center" vertical="center"/>
      <protection locked="0"/>
    </xf>
    <xf numFmtId="0" fontId="33" fillId="30" borderId="61" xfId="0" applyFont="1" applyFill="1" applyBorder="1" applyAlignment="1" applyProtection="1">
      <alignment horizontal="center" vertical="center"/>
      <protection locked="0"/>
    </xf>
    <xf numFmtId="0" fontId="33" fillId="30" borderId="45" xfId="0" applyFont="1" applyFill="1" applyBorder="1" applyAlignment="1" applyProtection="1">
      <alignment horizontal="center" vertical="center"/>
      <protection locked="0"/>
    </xf>
    <xf numFmtId="0" fontId="30" fillId="38" borderId="66" xfId="0" applyFont="1" applyFill="1" applyBorder="1" applyAlignment="1" applyProtection="1">
      <alignment horizontal="center" vertical="center" wrapText="1"/>
      <protection locked="0"/>
    </xf>
    <xf numFmtId="0" fontId="30" fillId="38" borderId="67" xfId="0" applyFont="1" applyFill="1" applyBorder="1" applyAlignment="1" applyProtection="1">
      <alignment horizontal="center" vertical="center" wrapText="1"/>
      <protection locked="0"/>
    </xf>
    <xf numFmtId="0" fontId="30" fillId="38" borderId="62" xfId="0" applyFont="1" applyFill="1" applyBorder="1" applyAlignment="1" applyProtection="1">
      <alignment horizontal="center" vertical="center" wrapText="1"/>
      <protection locked="0"/>
    </xf>
    <xf numFmtId="0" fontId="30" fillId="38" borderId="10" xfId="0" applyFont="1" applyFill="1" applyBorder="1" applyAlignment="1" applyProtection="1">
      <alignment horizontal="center" vertical="center" wrapText="1"/>
      <protection locked="0"/>
    </xf>
    <xf numFmtId="0" fontId="30" fillId="38" borderId="0" xfId="0" applyFont="1" applyFill="1" applyAlignment="1" applyProtection="1">
      <alignment horizontal="center" vertical="center" wrapText="1"/>
      <protection locked="0"/>
    </xf>
    <xf numFmtId="0" fontId="30" fillId="38" borderId="11" xfId="0" applyFont="1" applyFill="1" applyBorder="1" applyAlignment="1" applyProtection="1">
      <alignment horizontal="center" vertical="center" wrapText="1"/>
      <protection locked="0"/>
    </xf>
    <xf numFmtId="0" fontId="30" fillId="38" borderId="5" xfId="0" applyFont="1" applyFill="1" applyBorder="1" applyAlignment="1" applyProtection="1">
      <alignment horizontal="center" vertical="center" wrapText="1"/>
      <protection locked="0"/>
    </xf>
    <xf numFmtId="0" fontId="30" fillId="38" borderId="9" xfId="0" applyFont="1" applyFill="1" applyBorder="1" applyAlignment="1" applyProtection="1">
      <alignment horizontal="center" vertical="center" wrapText="1"/>
      <protection locked="0"/>
    </xf>
    <xf numFmtId="0" fontId="30" fillId="38" borderId="6" xfId="0" applyFont="1" applyFill="1" applyBorder="1" applyAlignment="1" applyProtection="1">
      <alignment horizontal="center" vertical="center" wrapText="1"/>
      <protection locked="0"/>
    </xf>
    <xf numFmtId="0" fontId="2" fillId="3" borderId="66" xfId="0" applyFont="1" applyFill="1" applyBorder="1" applyAlignment="1" applyProtection="1">
      <alignment horizontal="center" vertical="center"/>
      <protection locked="0"/>
    </xf>
    <xf numFmtId="0" fontId="2" fillId="3" borderId="49" xfId="0" applyFont="1" applyFill="1" applyBorder="1" applyAlignment="1" applyProtection="1">
      <alignment horizontal="center" vertical="center"/>
      <protection locked="0"/>
    </xf>
    <xf numFmtId="0" fontId="15" fillId="0" borderId="16" xfId="0" applyFont="1" applyBorder="1" applyAlignment="1" applyProtection="1">
      <alignment horizontal="center" vertical="center"/>
      <protection locked="0"/>
    </xf>
    <xf numFmtId="0" fontId="15" fillId="0" borderId="7" xfId="0" applyFont="1" applyBorder="1" applyAlignment="1" applyProtection="1">
      <alignment horizontal="center" vertical="center"/>
      <protection locked="0"/>
    </xf>
    <xf numFmtId="0" fontId="15" fillId="0" borderId="2" xfId="0" applyFont="1" applyBorder="1" applyAlignment="1" applyProtection="1">
      <alignment horizontal="center" vertical="center"/>
      <protection locked="0"/>
    </xf>
    <xf numFmtId="0" fontId="30" fillId="31" borderId="10" xfId="0" applyFont="1" applyFill="1" applyBorder="1" applyAlignment="1" applyProtection="1">
      <alignment horizontal="center" vertical="center" wrapText="1"/>
      <protection locked="0"/>
    </xf>
    <xf numFmtId="0" fontId="30" fillId="31" borderId="0" xfId="0" applyFont="1" applyFill="1" applyAlignment="1" applyProtection="1">
      <alignment horizontal="center" vertical="center" wrapText="1"/>
      <protection locked="0"/>
    </xf>
    <xf numFmtId="0" fontId="30" fillId="31" borderId="11" xfId="0" applyFont="1" applyFill="1" applyBorder="1" applyAlignment="1" applyProtection="1">
      <alignment horizontal="center" vertical="center" wrapText="1"/>
      <protection locked="0"/>
    </xf>
    <xf numFmtId="0" fontId="30" fillId="31" borderId="5" xfId="0" applyFont="1" applyFill="1" applyBorder="1" applyAlignment="1" applyProtection="1">
      <alignment horizontal="center" vertical="center" wrapText="1"/>
      <protection locked="0"/>
    </xf>
    <xf numFmtId="0" fontId="30" fillId="31" borderId="9" xfId="0" applyFont="1" applyFill="1" applyBorder="1" applyAlignment="1" applyProtection="1">
      <alignment horizontal="center" vertical="center" wrapText="1"/>
      <protection locked="0"/>
    </xf>
    <xf numFmtId="0" fontId="30" fillId="31" borderId="6" xfId="0" applyFont="1" applyFill="1" applyBorder="1" applyAlignment="1" applyProtection="1">
      <alignment horizontal="center" vertical="center" wrapText="1"/>
      <protection locked="0"/>
    </xf>
    <xf numFmtId="0" fontId="30" fillId="31" borderId="66" xfId="0" applyFont="1" applyFill="1" applyBorder="1" applyAlignment="1" applyProtection="1">
      <alignment horizontal="center" vertical="center" wrapText="1"/>
      <protection locked="0"/>
    </xf>
    <xf numFmtId="0" fontId="30" fillId="31" borderId="67" xfId="0" applyFont="1" applyFill="1" applyBorder="1" applyAlignment="1" applyProtection="1">
      <alignment horizontal="center" vertical="center" wrapText="1"/>
      <protection locked="0"/>
    </xf>
    <xf numFmtId="0" fontId="30" fillId="31" borderId="62" xfId="0" applyFont="1" applyFill="1" applyBorder="1" applyAlignment="1" applyProtection="1">
      <alignment horizontal="center" vertical="center" wrapText="1"/>
      <protection locked="0"/>
    </xf>
    <xf numFmtId="0" fontId="28" fillId="0" borderId="0" xfId="0" applyFont="1" applyAlignment="1">
      <alignment horizontal="left" vertical="top" wrapText="1"/>
    </xf>
    <xf numFmtId="0" fontId="26" fillId="28" borderId="42" xfId="0" applyFont="1" applyFill="1" applyBorder="1" applyAlignment="1" applyProtection="1">
      <alignment horizontal="left" vertical="center" wrapText="1"/>
      <protection locked="0"/>
    </xf>
    <xf numFmtId="0" fontId="26" fillId="28" borderId="44" xfId="0" applyFont="1" applyFill="1" applyBorder="1" applyAlignment="1" applyProtection="1">
      <alignment horizontal="left" vertical="center" wrapText="1"/>
      <protection locked="0"/>
    </xf>
    <xf numFmtId="0" fontId="26" fillId="28" borderId="48" xfId="0" applyFont="1" applyFill="1" applyBorder="1" applyAlignment="1" applyProtection="1">
      <alignment horizontal="left" vertical="center" wrapText="1"/>
      <protection locked="0"/>
    </xf>
    <xf numFmtId="0" fontId="26" fillId="28" borderId="41" xfId="0" applyFont="1" applyFill="1" applyBorder="1" applyAlignment="1" applyProtection="1">
      <alignment horizontal="left" vertical="center" wrapText="1"/>
      <protection locked="0"/>
    </xf>
    <xf numFmtId="0" fontId="26" fillId="28" borderId="61" xfId="0" applyFont="1" applyFill="1" applyBorder="1" applyAlignment="1" applyProtection="1">
      <alignment horizontal="left" vertical="center" wrapText="1"/>
      <protection locked="0"/>
    </xf>
    <xf numFmtId="0" fontId="26" fillId="28" borderId="45" xfId="0" applyFont="1" applyFill="1" applyBorder="1" applyAlignment="1" applyProtection="1">
      <alignment horizontal="left" vertical="center" wrapText="1"/>
      <protection locked="0"/>
    </xf>
    <xf numFmtId="0" fontId="26" fillId="24" borderId="24" xfId="0" applyFont="1" applyFill="1" applyBorder="1" applyAlignment="1" applyProtection="1">
      <alignment horizontal="center" vertical="center" wrapText="1"/>
      <protection locked="0"/>
    </xf>
    <xf numFmtId="0" fontId="26" fillId="24" borderId="17" xfId="0" applyFont="1" applyFill="1" applyBorder="1" applyAlignment="1" applyProtection="1">
      <alignment horizontal="center" vertical="center" wrapText="1"/>
      <protection locked="0"/>
    </xf>
    <xf numFmtId="0" fontId="26" fillId="24" borderId="18" xfId="0" applyFont="1" applyFill="1" applyBorder="1" applyAlignment="1" applyProtection="1">
      <alignment horizontal="center" vertical="center" wrapText="1"/>
      <protection locked="0"/>
    </xf>
    <xf numFmtId="0" fontId="40" fillId="38" borderId="26" xfId="0" applyFont="1" applyFill="1" applyBorder="1" applyAlignment="1" applyProtection="1">
      <alignment horizontal="center" vertical="center" wrapText="1"/>
      <protection locked="0"/>
    </xf>
    <xf numFmtId="0" fontId="40" fillId="38" borderId="15" xfId="0" applyFont="1" applyFill="1" applyBorder="1" applyAlignment="1" applyProtection="1">
      <alignment horizontal="center" vertical="center" wrapText="1"/>
      <protection locked="0"/>
    </xf>
    <xf numFmtId="0" fontId="40" fillId="38" borderId="27" xfId="0" applyFont="1" applyFill="1" applyBorder="1" applyAlignment="1" applyProtection="1">
      <alignment horizontal="center" vertical="center" wrapText="1"/>
      <protection locked="0"/>
    </xf>
    <xf numFmtId="0" fontId="40" fillId="38" borderId="46" xfId="0" applyFont="1" applyFill="1" applyBorder="1" applyAlignment="1" applyProtection="1">
      <alignment horizontal="center" vertical="center" wrapText="1"/>
      <protection locked="0"/>
    </xf>
    <xf numFmtId="0" fontId="40" fillId="38" borderId="39" xfId="0" applyFont="1" applyFill="1" applyBorder="1" applyAlignment="1" applyProtection="1">
      <alignment horizontal="center" vertical="center" wrapText="1"/>
      <protection locked="0"/>
    </xf>
    <xf numFmtId="0" fontId="40" fillId="38" borderId="47" xfId="0" applyFont="1" applyFill="1" applyBorder="1" applyAlignment="1" applyProtection="1">
      <alignment horizontal="center" vertical="center" wrapText="1"/>
      <protection locked="0"/>
    </xf>
    <xf numFmtId="169" fontId="6" fillId="14" borderId="50" xfId="0" applyNumberFormat="1" applyFont="1" applyFill="1" applyBorder="1" applyAlignment="1">
      <alignment horizontal="center" vertical="center"/>
    </xf>
    <xf numFmtId="164" fontId="42" fillId="5" borderId="41" xfId="1" applyNumberFormat="1" applyFont="1" applyFill="1" applyBorder="1" applyAlignment="1" applyProtection="1">
      <alignment horizontal="center" vertical="center"/>
      <protection locked="0"/>
    </xf>
    <xf numFmtId="164" fontId="42" fillId="5" borderId="45" xfId="1" applyNumberFormat="1" applyFont="1" applyFill="1" applyBorder="1" applyAlignment="1" applyProtection="1">
      <alignment horizontal="center" vertical="center"/>
      <protection locked="0"/>
    </xf>
    <xf numFmtId="0" fontId="30" fillId="16" borderId="51" xfId="0" applyFont="1" applyFill="1" applyBorder="1" applyAlignment="1" applyProtection="1">
      <alignment horizontal="left" vertical="top" wrapText="1"/>
      <protection locked="0"/>
    </xf>
    <xf numFmtId="0" fontId="30" fillId="16" borderId="67" xfId="0" applyFont="1" applyFill="1" applyBorder="1" applyAlignment="1" applyProtection="1">
      <alignment horizontal="left" vertical="top" wrapText="1"/>
      <protection locked="0"/>
    </xf>
    <xf numFmtId="0" fontId="30" fillId="16" borderId="49" xfId="0" applyFont="1" applyFill="1" applyBorder="1" applyAlignment="1" applyProtection="1">
      <alignment horizontal="left" vertical="top" wrapText="1"/>
      <protection locked="0"/>
    </xf>
    <xf numFmtId="0" fontId="30" fillId="16" borderId="70" xfId="0" applyFont="1" applyFill="1" applyBorder="1" applyAlignment="1" applyProtection="1">
      <alignment horizontal="left" vertical="top" wrapText="1"/>
      <protection locked="0"/>
    </xf>
    <xf numFmtId="0" fontId="30" fillId="16" borderId="0" xfId="0" applyFont="1" applyFill="1" applyAlignment="1" applyProtection="1">
      <alignment horizontal="left" vertical="top" wrapText="1"/>
      <protection locked="0"/>
    </xf>
    <xf numFmtId="0" fontId="30" fillId="16" borderId="57" xfId="0" applyFont="1" applyFill="1" applyBorder="1" applyAlignment="1" applyProtection="1">
      <alignment horizontal="left" vertical="top" wrapText="1"/>
      <protection locked="0"/>
    </xf>
    <xf numFmtId="0" fontId="30" fillId="16" borderId="79" xfId="0" applyFont="1" applyFill="1" applyBorder="1" applyAlignment="1" applyProtection="1">
      <alignment horizontal="left" vertical="top" wrapText="1"/>
      <protection locked="0"/>
    </xf>
    <xf numFmtId="0" fontId="30" fillId="16" borderId="39" xfId="0" applyFont="1" applyFill="1" applyBorder="1" applyAlignment="1" applyProtection="1">
      <alignment horizontal="left" vertical="top" wrapText="1"/>
      <protection locked="0"/>
    </xf>
    <xf numFmtId="0" fontId="30" fillId="16" borderId="69" xfId="0" applyFont="1" applyFill="1" applyBorder="1" applyAlignment="1" applyProtection="1">
      <alignment horizontal="left" vertical="top" wrapText="1"/>
      <protection locked="0"/>
    </xf>
    <xf numFmtId="0" fontId="26" fillId="32" borderId="16" xfId="0" applyFont="1" applyFill="1" applyBorder="1" applyAlignment="1" applyProtection="1">
      <alignment horizontal="center"/>
      <protection locked="0"/>
    </xf>
    <xf numFmtId="0" fontId="26" fillId="32" borderId="7" xfId="0" applyFont="1" applyFill="1" applyBorder="1" applyAlignment="1" applyProtection="1">
      <alignment horizontal="center"/>
      <protection locked="0"/>
    </xf>
    <xf numFmtId="0" fontId="30" fillId="31" borderId="41" xfId="0" applyFont="1" applyFill="1" applyBorder="1" applyAlignment="1" applyProtection="1">
      <alignment horizontal="left" vertical="center" wrapText="1"/>
      <protection locked="0"/>
    </xf>
    <xf numFmtId="0" fontId="30" fillId="31" borderId="61" xfId="0" applyFont="1" applyFill="1" applyBorder="1" applyAlignment="1" applyProtection="1">
      <alignment horizontal="left" vertical="center" wrapText="1"/>
      <protection locked="0"/>
    </xf>
    <xf numFmtId="0" fontId="30" fillId="31" borderId="68" xfId="0" applyFont="1" applyFill="1" applyBorder="1" applyAlignment="1" applyProtection="1">
      <alignment horizontal="left" vertical="center" wrapText="1"/>
      <protection locked="0"/>
    </xf>
    <xf numFmtId="169" fontId="0" fillId="14" borderId="37" xfId="1" applyNumberFormat="1" applyFont="1" applyFill="1" applyBorder="1" applyAlignment="1" applyProtection="1">
      <alignment horizontal="center"/>
    </xf>
    <xf numFmtId="169" fontId="0" fillId="14" borderId="50" xfId="1" applyNumberFormat="1" applyFont="1" applyFill="1" applyBorder="1" applyAlignment="1" applyProtection="1">
      <alignment horizontal="center"/>
    </xf>
    <xf numFmtId="0" fontId="2" fillId="3" borderId="57" xfId="0" applyFont="1" applyFill="1" applyBorder="1" applyAlignment="1" applyProtection="1">
      <alignment horizontal="center" vertical="center"/>
      <protection locked="0"/>
    </xf>
    <xf numFmtId="0" fontId="0" fillId="2" borderId="9" xfId="0" applyFill="1" applyBorder="1" applyAlignment="1" applyProtection="1">
      <alignment horizontal="center" vertical="center"/>
      <protection locked="0"/>
    </xf>
    <xf numFmtId="0" fontId="0" fillId="2" borderId="6" xfId="0" applyFill="1" applyBorder="1" applyAlignment="1" applyProtection="1">
      <alignment horizontal="center" vertical="center"/>
      <protection locked="0"/>
    </xf>
    <xf numFmtId="0" fontId="39" fillId="16" borderId="16" xfId="0" applyFont="1" applyFill="1" applyBorder="1" applyAlignment="1" applyProtection="1">
      <alignment horizontal="center" vertical="center"/>
      <protection locked="0"/>
    </xf>
    <xf numFmtId="0" fontId="39" fillId="16" borderId="7" xfId="0" applyFont="1" applyFill="1" applyBorder="1" applyAlignment="1" applyProtection="1">
      <alignment horizontal="center" vertical="center"/>
      <protection locked="0"/>
    </xf>
    <xf numFmtId="0" fontId="39" fillId="16" borderId="2" xfId="0" applyFont="1" applyFill="1" applyBorder="1" applyAlignment="1" applyProtection="1">
      <alignment horizontal="center" vertical="center"/>
      <protection locked="0"/>
    </xf>
    <xf numFmtId="169" fontId="0" fillId="14" borderId="30" xfId="1" applyNumberFormat="1" applyFont="1" applyFill="1" applyBorder="1" applyAlignment="1" applyProtection="1">
      <alignment horizontal="center"/>
    </xf>
    <xf numFmtId="0" fontId="2" fillId="3" borderId="69" xfId="0" applyFont="1" applyFill="1" applyBorder="1" applyAlignment="1" applyProtection="1">
      <alignment horizontal="center" vertical="center"/>
      <protection locked="0"/>
    </xf>
    <xf numFmtId="169" fontId="0" fillId="14" borderId="16" xfId="1" applyNumberFormat="1" applyFont="1" applyFill="1" applyBorder="1" applyAlignment="1" applyProtection="1">
      <alignment horizontal="center"/>
    </xf>
    <xf numFmtId="169" fontId="0" fillId="14" borderId="2" xfId="1" applyNumberFormat="1" applyFont="1" applyFill="1" applyBorder="1" applyAlignment="1" applyProtection="1">
      <alignment horizontal="center"/>
    </xf>
    <xf numFmtId="169" fontId="39" fillId="29" borderId="16" xfId="1" applyNumberFormat="1" applyFont="1" applyFill="1" applyBorder="1" applyAlignment="1" applyProtection="1">
      <alignment horizontal="left"/>
      <protection locked="0"/>
    </xf>
    <xf numFmtId="169" fontId="39" fillId="29" borderId="7" xfId="1" applyNumberFormat="1" applyFont="1" applyFill="1" applyBorder="1" applyAlignment="1" applyProtection="1">
      <alignment horizontal="left"/>
      <protection locked="0"/>
    </xf>
    <xf numFmtId="0" fontId="3" fillId="15" borderId="3" xfId="0" applyFont="1" applyFill="1" applyBorder="1" applyAlignment="1" applyProtection="1">
      <alignment horizontal="center"/>
      <protection locked="0"/>
    </xf>
    <xf numFmtId="0" fontId="3" fillId="15" borderId="8" xfId="0" applyFont="1" applyFill="1" applyBorder="1" applyAlignment="1" applyProtection="1">
      <alignment horizontal="center"/>
      <protection locked="0"/>
    </xf>
    <xf numFmtId="0" fontId="3" fillId="15" borderId="4" xfId="0" applyFont="1" applyFill="1" applyBorder="1" applyAlignment="1" applyProtection="1">
      <alignment horizontal="center"/>
      <protection locked="0"/>
    </xf>
    <xf numFmtId="0" fontId="38" fillId="16" borderId="39" xfId="0" applyFont="1" applyFill="1" applyBorder="1" applyAlignment="1" applyProtection="1">
      <alignment horizontal="center" vertical="center"/>
      <protection locked="0"/>
    </xf>
    <xf numFmtId="0" fontId="3" fillId="0" borderId="63" xfId="0" applyFont="1" applyBorder="1" applyAlignment="1" applyProtection="1">
      <alignment horizontal="center" vertical="center"/>
      <protection locked="0"/>
    </xf>
    <xf numFmtId="0" fontId="3" fillId="0" borderId="64" xfId="0" applyFont="1" applyBorder="1" applyAlignment="1" applyProtection="1">
      <alignment horizontal="center" vertical="center"/>
      <protection locked="0"/>
    </xf>
    <xf numFmtId="9" fontId="3" fillId="14" borderId="24" xfId="2" applyFont="1" applyFill="1" applyBorder="1" applyAlignment="1" applyProtection="1">
      <alignment horizontal="center"/>
      <protection locked="0"/>
    </xf>
    <xf numFmtId="9" fontId="3" fillId="14" borderId="17" xfId="2" applyFont="1" applyFill="1" applyBorder="1" applyAlignment="1" applyProtection="1">
      <alignment horizontal="center"/>
      <protection locked="0"/>
    </xf>
    <xf numFmtId="9" fontId="3" fillId="14" borderId="18" xfId="2" applyFont="1" applyFill="1" applyBorder="1" applyAlignment="1" applyProtection="1">
      <alignment horizontal="center"/>
      <protection locked="0"/>
    </xf>
    <xf numFmtId="164" fontId="3" fillId="14" borderId="24" xfId="1" applyNumberFormat="1" applyFont="1" applyFill="1" applyBorder="1" applyAlignment="1" applyProtection="1">
      <alignment horizontal="center"/>
      <protection locked="0"/>
    </xf>
    <xf numFmtId="164" fontId="3" fillId="14" borderId="17" xfId="1" applyNumberFormat="1" applyFont="1" applyFill="1" applyBorder="1" applyAlignment="1" applyProtection="1">
      <alignment horizontal="center"/>
      <protection locked="0"/>
    </xf>
    <xf numFmtId="164" fontId="3" fillId="14" borderId="18" xfId="1" applyNumberFormat="1" applyFont="1" applyFill="1" applyBorder="1" applyAlignment="1" applyProtection="1">
      <alignment horizontal="center"/>
      <protection locked="0"/>
    </xf>
    <xf numFmtId="0" fontId="38" fillId="16" borderId="0" xfId="0" applyFont="1" applyFill="1" applyAlignment="1" applyProtection="1">
      <alignment horizontal="center" vertical="center" wrapText="1"/>
      <protection locked="0"/>
    </xf>
    <xf numFmtId="0" fontId="38" fillId="16" borderId="11" xfId="0" applyFont="1" applyFill="1" applyBorder="1" applyAlignment="1" applyProtection="1">
      <alignment horizontal="center" vertical="center" wrapText="1"/>
      <protection locked="0"/>
    </xf>
    <xf numFmtId="0" fontId="39" fillId="16" borderId="2" xfId="0" applyFont="1" applyFill="1" applyBorder="1" applyAlignment="1" applyProtection="1">
      <alignment horizontal="center" vertical="center" wrapText="1"/>
      <protection locked="0"/>
    </xf>
    <xf numFmtId="0" fontId="2" fillId="5" borderId="8" xfId="0" applyFont="1" applyFill="1" applyBorder="1" applyAlignment="1" applyProtection="1">
      <alignment horizontal="center" vertical="center" wrapText="1"/>
      <protection locked="0"/>
    </xf>
    <xf numFmtId="9" fontId="0" fillId="2" borderId="77" xfId="2" applyFont="1" applyFill="1" applyBorder="1" applyAlignment="1" applyProtection="1">
      <alignment horizontal="center" vertical="center"/>
      <protection locked="0"/>
    </xf>
    <xf numFmtId="9" fontId="0" fillId="2" borderId="13" xfId="2" applyFont="1" applyFill="1" applyBorder="1" applyAlignment="1" applyProtection="1">
      <alignment horizontal="center" vertical="center"/>
      <protection locked="0"/>
    </xf>
    <xf numFmtId="0" fontId="2" fillId="3" borderId="2" xfId="0" applyFont="1" applyFill="1" applyBorder="1" applyAlignment="1" applyProtection="1">
      <alignment horizontal="center" vertical="center" wrapText="1"/>
      <protection locked="0"/>
    </xf>
    <xf numFmtId="0" fontId="3" fillId="16" borderId="15" xfId="0" applyFont="1" applyFill="1" applyBorder="1" applyAlignment="1" applyProtection="1">
      <alignment horizontal="center" vertical="center" wrapText="1"/>
      <protection locked="0"/>
    </xf>
    <xf numFmtId="0" fontId="3" fillId="16" borderId="27" xfId="0" applyFont="1" applyFill="1" applyBorder="1" applyAlignment="1" applyProtection="1">
      <alignment horizontal="center" vertical="center" wrapText="1"/>
      <protection locked="0"/>
    </xf>
    <xf numFmtId="0" fontId="2" fillId="7" borderId="8" xfId="0" applyFont="1" applyFill="1" applyBorder="1" applyAlignment="1" applyProtection="1">
      <alignment horizontal="center" vertical="center" wrapText="1"/>
      <protection locked="0"/>
    </xf>
    <xf numFmtId="0" fontId="2" fillId="7" borderId="4" xfId="0" applyFont="1" applyFill="1" applyBorder="1" applyAlignment="1" applyProtection="1">
      <alignment horizontal="center" vertical="center" wrapText="1"/>
      <protection locked="0"/>
    </xf>
    <xf numFmtId="0" fontId="26" fillId="34" borderId="39" xfId="0" applyFont="1" applyFill="1" applyBorder="1" applyAlignment="1" applyProtection="1">
      <alignment horizontal="center" vertical="center" wrapText="1"/>
      <protection locked="0"/>
    </xf>
    <xf numFmtId="0" fontId="26" fillId="34" borderId="69" xfId="0" applyFont="1" applyFill="1" applyBorder="1" applyAlignment="1" applyProtection="1">
      <alignment horizontal="center" vertical="center" wrapText="1"/>
      <protection locked="0"/>
    </xf>
    <xf numFmtId="169" fontId="0" fillId="14" borderId="7" xfId="1" applyNumberFormat="1" applyFont="1" applyFill="1" applyBorder="1" applyAlignment="1">
      <alignment horizontal="center" vertical="center"/>
    </xf>
    <xf numFmtId="169" fontId="0" fillId="14" borderId="2" xfId="1" applyNumberFormat="1" applyFont="1" applyFill="1" applyBorder="1" applyAlignment="1">
      <alignment horizontal="center" vertical="center"/>
    </xf>
    <xf numFmtId="169" fontId="0" fillId="14" borderId="71" xfId="1" applyNumberFormat="1" applyFont="1" applyFill="1" applyBorder="1" applyAlignment="1" applyProtection="1">
      <alignment horizontal="center"/>
    </xf>
    <xf numFmtId="169" fontId="0" fillId="14" borderId="78" xfId="0" applyNumberFormat="1" applyFill="1" applyBorder="1" applyAlignment="1">
      <alignment horizontal="center"/>
    </xf>
    <xf numFmtId="169" fontId="0" fillId="14" borderId="71" xfId="0" applyNumberFormat="1" applyFill="1" applyBorder="1" applyAlignment="1">
      <alignment horizontal="center"/>
    </xf>
    <xf numFmtId="0" fontId="0" fillId="0" borderId="0" xfId="0" applyAlignment="1">
      <alignment horizontal="left" vertical="center" wrapText="1"/>
    </xf>
    <xf numFmtId="0" fontId="30" fillId="31" borderId="3" xfId="0" applyFont="1" applyFill="1" applyBorder="1" applyAlignment="1" applyProtection="1">
      <alignment horizontal="center" vertical="center" wrapText="1"/>
      <protection locked="0"/>
    </xf>
    <xf numFmtId="0" fontId="30" fillId="31" borderId="8" xfId="0" applyFont="1" applyFill="1" applyBorder="1" applyAlignment="1" applyProtection="1">
      <alignment horizontal="center" vertical="center" wrapText="1"/>
      <protection locked="0"/>
    </xf>
    <xf numFmtId="0" fontId="30" fillId="31" borderId="4" xfId="0" applyFont="1" applyFill="1" applyBorder="1" applyAlignment="1" applyProtection="1">
      <alignment horizontal="center" vertical="center" wrapText="1"/>
      <protection locked="0"/>
    </xf>
    <xf numFmtId="169" fontId="1" fillId="14" borderId="44" xfId="1" applyNumberFormat="1" applyFont="1" applyFill="1" applyBorder="1" applyAlignment="1" applyProtection="1">
      <alignment horizontal="center"/>
    </xf>
    <xf numFmtId="169" fontId="1" fillId="14" borderId="50" xfId="1" applyNumberFormat="1" applyFont="1" applyFill="1" applyBorder="1" applyAlignment="1" applyProtection="1">
      <alignment horizontal="center"/>
    </xf>
    <xf numFmtId="169" fontId="1" fillId="14" borderId="37" xfId="1" applyNumberFormat="1" applyFont="1" applyFill="1" applyBorder="1" applyAlignment="1" applyProtection="1">
      <alignment horizontal="center"/>
    </xf>
    <xf numFmtId="169" fontId="6" fillId="14" borderId="37" xfId="0" applyNumberFormat="1" applyFont="1" applyFill="1" applyBorder="1" applyAlignment="1">
      <alignment horizontal="center"/>
    </xf>
    <xf numFmtId="169" fontId="6" fillId="14" borderId="50" xfId="0" applyNumberFormat="1" applyFont="1" applyFill="1" applyBorder="1" applyAlignment="1">
      <alignment horizontal="center"/>
    </xf>
    <xf numFmtId="169" fontId="0" fillId="14" borderId="37" xfId="0" applyNumberFormat="1" applyFill="1" applyBorder="1" applyAlignment="1">
      <alignment horizontal="center"/>
    </xf>
    <xf numFmtId="169" fontId="0" fillId="14" borderId="50" xfId="0" applyNumberFormat="1" applyFill="1" applyBorder="1" applyAlignment="1">
      <alignment horizontal="center"/>
    </xf>
    <xf numFmtId="0" fontId="8" fillId="15" borderId="8" xfId="0" applyFont="1" applyFill="1" applyBorder="1" applyAlignment="1" applyProtection="1">
      <alignment horizontal="center" vertical="center"/>
      <protection locked="0"/>
    </xf>
    <xf numFmtId="0" fontId="38" fillId="16" borderId="5" xfId="0" applyFont="1" applyFill="1" applyBorder="1" applyAlignment="1" applyProtection="1">
      <alignment horizontal="center" vertical="center"/>
      <protection locked="0"/>
    </xf>
    <xf numFmtId="0" fontId="38" fillId="16" borderId="9" xfId="0" applyFont="1" applyFill="1" applyBorder="1" applyAlignment="1" applyProtection="1">
      <alignment horizontal="center" vertical="center"/>
      <protection locked="0"/>
    </xf>
    <xf numFmtId="0" fontId="38" fillId="16" borderId="6" xfId="0" applyFont="1" applyFill="1" applyBorder="1" applyAlignment="1" applyProtection="1">
      <alignment horizontal="center" vertical="center"/>
      <protection locked="0"/>
    </xf>
    <xf numFmtId="164" fontId="3" fillId="14" borderId="15" xfId="1" applyNumberFormat="1" applyFont="1" applyFill="1" applyBorder="1" applyAlignment="1" applyProtection="1">
      <alignment horizontal="center"/>
      <protection locked="0"/>
    </xf>
    <xf numFmtId="164" fontId="3" fillId="14" borderId="27" xfId="1" applyNumberFormat="1" applyFont="1" applyFill="1" applyBorder="1" applyAlignment="1" applyProtection="1">
      <alignment horizontal="center"/>
      <protection locked="0"/>
    </xf>
    <xf numFmtId="0" fontId="3" fillId="0" borderId="25" xfId="0" applyFont="1" applyBorder="1" applyAlignment="1" applyProtection="1">
      <alignment horizontal="left"/>
      <protection locked="0"/>
    </xf>
    <xf numFmtId="0" fontId="3" fillId="0" borderId="19" xfId="0" applyFont="1" applyBorder="1" applyAlignment="1" applyProtection="1">
      <alignment horizontal="left"/>
      <protection locked="0"/>
    </xf>
    <xf numFmtId="0" fontId="2" fillId="8" borderId="41" xfId="0" applyFont="1" applyFill="1" applyBorder="1" applyAlignment="1" applyProtection="1">
      <alignment horizontal="center" vertical="center" wrapText="1"/>
      <protection locked="0"/>
    </xf>
    <xf numFmtId="0" fontId="2" fillId="8" borderId="61" xfId="0" applyFont="1" applyFill="1" applyBorder="1" applyAlignment="1" applyProtection="1">
      <alignment horizontal="center" vertical="center" wrapText="1"/>
      <protection locked="0"/>
    </xf>
    <xf numFmtId="0" fontId="2" fillId="8" borderId="45" xfId="0" applyFont="1" applyFill="1" applyBorder="1" applyAlignment="1" applyProtection="1">
      <alignment horizontal="center" vertical="center" wrapText="1"/>
      <protection locked="0"/>
    </xf>
    <xf numFmtId="0" fontId="3" fillId="0" borderId="26" xfId="0" applyFont="1" applyBorder="1" applyAlignment="1" applyProtection="1">
      <alignment horizontal="center" vertical="center"/>
      <protection locked="0"/>
    </xf>
    <xf numFmtId="9" fontId="3" fillId="14" borderId="15" xfId="2" applyFont="1" applyFill="1" applyBorder="1" applyAlignment="1" applyProtection="1">
      <alignment horizontal="center"/>
      <protection locked="0"/>
    </xf>
    <xf numFmtId="169" fontId="6" fillId="14" borderId="44" xfId="0" applyNumberFormat="1" applyFont="1" applyFill="1" applyBorder="1" applyAlignment="1">
      <alignment horizontal="center" vertical="center"/>
    </xf>
    <xf numFmtId="169" fontId="6" fillId="14" borderId="48" xfId="0" applyNumberFormat="1" applyFont="1" applyFill="1" applyBorder="1" applyAlignment="1">
      <alignment horizontal="center" vertical="center"/>
    </xf>
    <xf numFmtId="0" fontId="3" fillId="0" borderId="15" xfId="0" applyFont="1" applyBorder="1" applyAlignment="1" applyProtection="1">
      <alignment horizontal="center" wrapText="1"/>
      <protection locked="0"/>
    </xf>
    <xf numFmtId="0" fontId="3" fillId="0" borderId="27" xfId="0" applyFont="1" applyBorder="1" applyAlignment="1" applyProtection="1">
      <alignment horizontal="center" wrapText="1"/>
      <protection locked="0"/>
    </xf>
    <xf numFmtId="0" fontId="30" fillId="14" borderId="10" xfId="0" applyFont="1" applyFill="1" applyBorder="1" applyAlignment="1" applyProtection="1">
      <alignment horizontal="center" vertical="center" wrapText="1"/>
      <protection locked="0"/>
    </xf>
    <xf numFmtId="0" fontId="30" fillId="14" borderId="0" xfId="0" applyFont="1" applyFill="1" applyAlignment="1" applyProtection="1">
      <alignment horizontal="center" vertical="center" wrapText="1"/>
      <protection locked="0"/>
    </xf>
    <xf numFmtId="0" fontId="30" fillId="14" borderId="11" xfId="0" applyFont="1" applyFill="1" applyBorder="1" applyAlignment="1" applyProtection="1">
      <alignment horizontal="center" vertical="center" wrapText="1"/>
      <protection locked="0"/>
    </xf>
    <xf numFmtId="0" fontId="30" fillId="14" borderId="5" xfId="0" applyFont="1" applyFill="1" applyBorder="1" applyAlignment="1" applyProtection="1">
      <alignment horizontal="center" vertical="center" wrapText="1"/>
      <protection locked="0"/>
    </xf>
    <xf numFmtId="0" fontId="30" fillId="14" borderId="9" xfId="0" applyFont="1" applyFill="1" applyBorder="1" applyAlignment="1" applyProtection="1">
      <alignment horizontal="center" vertical="center" wrapText="1"/>
      <protection locked="0"/>
    </xf>
    <xf numFmtId="0" fontId="30" fillId="14" borderId="6" xfId="0" applyFont="1" applyFill="1" applyBorder="1" applyAlignment="1" applyProtection="1">
      <alignment horizontal="center" vertical="center" wrapText="1"/>
      <protection locked="0"/>
    </xf>
    <xf numFmtId="0" fontId="2" fillId="3" borderId="48" xfId="0" applyFont="1" applyFill="1" applyBorder="1" applyAlignment="1" applyProtection="1">
      <alignment horizontal="center" vertical="center"/>
      <protection locked="0"/>
    </xf>
    <xf numFmtId="169" fontId="6" fillId="14" borderId="37" xfId="1" applyNumberFormat="1" applyFont="1" applyFill="1" applyBorder="1" applyAlignment="1" applyProtection="1">
      <alignment horizontal="center"/>
    </xf>
    <xf numFmtId="169" fontId="6" fillId="14" borderId="50" xfId="1" applyNumberFormat="1" applyFont="1" applyFill="1" applyBorder="1" applyAlignment="1" applyProtection="1">
      <alignment horizontal="center"/>
    </xf>
    <xf numFmtId="169" fontId="6" fillId="14" borderId="48" xfId="1" applyNumberFormat="1" applyFont="1" applyFill="1" applyBorder="1" applyAlignment="1" applyProtection="1">
      <alignment horizontal="center"/>
    </xf>
    <xf numFmtId="0" fontId="0" fillId="0" borderId="0" xfId="0" applyAlignment="1">
      <alignment horizontal="left"/>
    </xf>
    <xf numFmtId="0" fontId="33" fillId="30" borderId="16" xfId="0" applyFont="1" applyFill="1" applyBorder="1" applyAlignment="1" applyProtection="1">
      <alignment horizontal="center" vertical="center"/>
      <protection locked="0"/>
    </xf>
    <xf numFmtId="0" fontId="33" fillId="30" borderId="7" xfId="0" applyFont="1" applyFill="1" applyBorder="1" applyAlignment="1" applyProtection="1">
      <alignment horizontal="center" vertical="center"/>
      <protection locked="0"/>
    </xf>
    <xf numFmtId="0" fontId="33" fillId="30" borderId="2" xfId="0" applyFont="1" applyFill="1" applyBorder="1" applyAlignment="1" applyProtection="1">
      <alignment horizontal="center" vertical="center"/>
      <protection locked="0"/>
    </xf>
    <xf numFmtId="0" fontId="26" fillId="32" borderId="2" xfId="0" applyFont="1" applyFill="1" applyBorder="1" applyAlignment="1" applyProtection="1">
      <alignment horizontal="center"/>
      <protection locked="0"/>
    </xf>
    <xf numFmtId="0" fontId="30" fillId="31" borderId="45" xfId="0" applyFont="1" applyFill="1" applyBorder="1" applyAlignment="1" applyProtection="1">
      <alignment horizontal="left" vertical="center" wrapText="1"/>
      <protection locked="0"/>
    </xf>
    <xf numFmtId="0" fontId="2" fillId="3" borderId="62" xfId="0" applyFont="1" applyFill="1" applyBorder="1" applyAlignment="1" applyProtection="1">
      <alignment horizontal="center" vertical="center"/>
      <protection locked="0"/>
    </xf>
    <xf numFmtId="169" fontId="0" fillId="16" borderId="19" xfId="0" applyNumberFormat="1" applyFill="1" applyBorder="1" applyAlignment="1">
      <alignment horizontal="center"/>
    </xf>
    <xf numFmtId="169" fontId="0" fillId="16" borderId="20" xfId="0" applyNumberFormat="1" applyFill="1" applyBorder="1" applyAlignment="1">
      <alignment horizontal="center"/>
    </xf>
    <xf numFmtId="0" fontId="2" fillId="3" borderId="24" xfId="0" applyFont="1" applyFill="1" applyBorder="1" applyAlignment="1" applyProtection="1">
      <alignment horizontal="center" vertical="center"/>
      <protection locked="0"/>
    </xf>
    <xf numFmtId="0" fontId="2" fillId="3" borderId="17" xfId="0" applyFont="1" applyFill="1" applyBorder="1" applyAlignment="1" applyProtection="1">
      <alignment horizontal="center" vertical="center"/>
      <protection locked="0"/>
    </xf>
    <xf numFmtId="0" fontId="2" fillId="3" borderId="18" xfId="0" applyFont="1" applyFill="1" applyBorder="1" applyAlignment="1" applyProtection="1">
      <alignment horizontal="center" vertical="center"/>
      <protection locked="0"/>
    </xf>
    <xf numFmtId="0" fontId="0" fillId="0" borderId="42" xfId="0" applyBorder="1" applyAlignment="1" applyProtection="1">
      <alignment horizontal="center"/>
      <protection locked="0"/>
    </xf>
    <xf numFmtId="0" fontId="30" fillId="16" borderId="66" xfId="0" applyFont="1" applyFill="1" applyBorder="1" applyAlignment="1" applyProtection="1">
      <alignment horizontal="left" vertical="center" wrapText="1"/>
      <protection locked="0"/>
    </xf>
    <xf numFmtId="0" fontId="30" fillId="16" borderId="62" xfId="0" applyFont="1" applyFill="1" applyBorder="1" applyAlignment="1" applyProtection="1">
      <alignment horizontal="left" vertical="center" wrapText="1"/>
      <protection locked="0"/>
    </xf>
    <xf numFmtId="0" fontId="30" fillId="16" borderId="10" xfId="0" applyFont="1" applyFill="1" applyBorder="1" applyAlignment="1" applyProtection="1">
      <alignment horizontal="left" vertical="center" wrapText="1"/>
      <protection locked="0"/>
    </xf>
    <xf numFmtId="0" fontId="30" fillId="16" borderId="11" xfId="0" applyFont="1" applyFill="1" applyBorder="1" applyAlignment="1" applyProtection="1">
      <alignment horizontal="left" vertical="center" wrapText="1"/>
      <protection locked="0"/>
    </xf>
    <xf numFmtId="0" fontId="30" fillId="16" borderId="46" xfId="0" applyFont="1" applyFill="1" applyBorder="1" applyAlignment="1" applyProtection="1">
      <alignment horizontal="left" vertical="center" wrapText="1"/>
      <protection locked="0"/>
    </xf>
    <xf numFmtId="0" fontId="30" fillId="16" borderId="47" xfId="0" applyFont="1" applyFill="1" applyBorder="1" applyAlignment="1" applyProtection="1">
      <alignment horizontal="left" vertical="center" wrapText="1"/>
      <protection locked="0"/>
    </xf>
    <xf numFmtId="0" fontId="3" fillId="0" borderId="35" xfId="0" applyFont="1" applyBorder="1" applyAlignment="1" applyProtection="1">
      <alignment horizontal="left"/>
      <protection locked="0"/>
    </xf>
    <xf numFmtId="0" fontId="3" fillId="0" borderId="30" xfId="0" applyFont="1" applyBorder="1" applyAlignment="1" applyProtection="1">
      <alignment horizontal="left"/>
      <protection locked="0"/>
    </xf>
    <xf numFmtId="0" fontId="2" fillId="35" borderId="46" xfId="0" applyFont="1" applyFill="1" applyBorder="1" applyAlignment="1" applyProtection="1">
      <alignment horizontal="center" vertical="center" wrapText="1"/>
      <protection locked="0"/>
    </xf>
    <xf numFmtId="0" fontId="2" fillId="35" borderId="39" xfId="0" applyFont="1" applyFill="1" applyBorder="1" applyAlignment="1" applyProtection="1">
      <alignment horizontal="center" vertical="center" wrapText="1"/>
      <protection locked="0"/>
    </xf>
    <xf numFmtId="0" fontId="2" fillId="35" borderId="47" xfId="0" applyFont="1" applyFill="1" applyBorder="1" applyAlignment="1" applyProtection="1">
      <alignment horizontal="center" vertical="center" wrapText="1"/>
      <protection locked="0"/>
    </xf>
    <xf numFmtId="0" fontId="3" fillId="15" borderId="3" xfId="0" applyFont="1" applyFill="1" applyBorder="1" applyAlignment="1">
      <alignment horizontal="center" vertical="center" wrapText="1"/>
    </xf>
    <xf numFmtId="0" fontId="3" fillId="15" borderId="10" xfId="0" applyFont="1" applyFill="1" applyBorder="1" applyAlignment="1">
      <alignment horizontal="center" vertical="center" wrapText="1"/>
    </xf>
    <xf numFmtId="0" fontId="3" fillId="15" borderId="5" xfId="0" applyFont="1" applyFill="1" applyBorder="1" applyAlignment="1">
      <alignment horizontal="center" vertical="center" wrapText="1"/>
    </xf>
    <xf numFmtId="0" fontId="3" fillId="0" borderId="3" xfId="0" applyFont="1" applyBorder="1" applyAlignment="1">
      <alignment horizontal="center"/>
    </xf>
    <xf numFmtId="0" fontId="3" fillId="0" borderId="8" xfId="0" applyFont="1" applyBorder="1" applyAlignment="1">
      <alignment horizontal="center"/>
    </xf>
    <xf numFmtId="0" fontId="3" fillId="0" borderId="4" xfId="0" applyFont="1" applyBorder="1" applyAlignment="1">
      <alignment horizontal="center"/>
    </xf>
    <xf numFmtId="0" fontId="2" fillId="5" borderId="12" xfId="0" applyFont="1" applyFill="1" applyBorder="1" applyAlignment="1">
      <alignment horizontal="center" vertical="center" wrapText="1"/>
    </xf>
    <xf numFmtId="0" fontId="2" fillId="5" borderId="14" xfId="0" applyFont="1" applyFill="1" applyBorder="1" applyAlignment="1">
      <alignment horizontal="center" vertical="center" wrapText="1"/>
    </xf>
    <xf numFmtId="0" fontId="2" fillId="5" borderId="10" xfId="0" applyFont="1" applyFill="1" applyBorder="1" applyAlignment="1">
      <alignment horizontal="center" vertical="center" wrapText="1"/>
    </xf>
    <xf numFmtId="0" fontId="2" fillId="5" borderId="5" xfId="0" applyFont="1" applyFill="1" applyBorder="1" applyAlignment="1">
      <alignment horizontal="center" vertical="center" wrapText="1"/>
    </xf>
    <xf numFmtId="0" fontId="0" fillId="0" borderId="16" xfId="0" applyBorder="1" applyAlignment="1">
      <alignment horizontal="left" vertical="center"/>
    </xf>
    <xf numFmtId="0" fontId="0" fillId="0" borderId="7" xfId="0" applyBorder="1" applyAlignment="1">
      <alignment horizontal="left" vertical="center"/>
    </xf>
    <xf numFmtId="0" fontId="0" fillId="0" borderId="2" xfId="0" applyBorder="1" applyAlignment="1">
      <alignment horizontal="left" vertical="center"/>
    </xf>
    <xf numFmtId="0" fontId="2" fillId="5" borderId="13" xfId="0" applyFont="1" applyFill="1" applyBorder="1" applyAlignment="1">
      <alignment horizontal="center" vertical="center" wrapText="1"/>
    </xf>
    <xf numFmtId="0" fontId="0" fillId="0" borderId="3" xfId="0" applyBorder="1" applyAlignment="1">
      <alignment horizontal="left" vertical="center"/>
    </xf>
    <xf numFmtId="0" fontId="0" fillId="0" borderId="8" xfId="0" applyBorder="1" applyAlignment="1">
      <alignment horizontal="left" vertical="center"/>
    </xf>
    <xf numFmtId="0" fontId="0" fillId="0" borderId="4" xfId="0" applyBorder="1" applyAlignment="1">
      <alignment horizontal="left" vertical="center"/>
    </xf>
    <xf numFmtId="0" fontId="2" fillId="6" borderId="12" xfId="0" applyFont="1" applyFill="1" applyBorder="1" applyAlignment="1">
      <alignment horizontal="center" vertical="center" wrapText="1"/>
    </xf>
    <xf numFmtId="0" fontId="2" fillId="6" borderId="14"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3" fillId="0" borderId="16" xfId="0" applyFont="1" applyBorder="1" applyAlignment="1">
      <alignment horizontal="center"/>
    </xf>
    <xf numFmtId="0" fontId="3" fillId="0" borderId="7" xfId="0" applyFont="1" applyBorder="1" applyAlignment="1">
      <alignment horizontal="center"/>
    </xf>
    <xf numFmtId="0" fontId="3" fillId="0" borderId="2" xfId="0" applyFont="1" applyBorder="1" applyAlignment="1">
      <alignment horizontal="center"/>
    </xf>
    <xf numFmtId="0" fontId="2" fillId="18" borderId="3" xfId="0" applyFont="1" applyFill="1" applyBorder="1" applyAlignment="1">
      <alignment horizontal="center" vertical="center"/>
    </xf>
    <xf numFmtId="0" fontId="2" fillId="18" borderId="10" xfId="0" applyFont="1" applyFill="1" applyBorder="1" applyAlignment="1">
      <alignment horizontal="center" vertical="center"/>
    </xf>
    <xf numFmtId="0" fontId="2" fillId="18" borderId="5" xfId="0" applyFont="1" applyFill="1" applyBorder="1" applyAlignment="1">
      <alignment horizontal="center" vertical="center"/>
    </xf>
    <xf numFmtId="0" fontId="2" fillId="17" borderId="3" xfId="0" applyFont="1" applyFill="1" applyBorder="1" applyAlignment="1">
      <alignment horizontal="center" vertical="center"/>
    </xf>
    <xf numFmtId="0" fontId="2" fillId="17" borderId="10" xfId="0" applyFont="1" applyFill="1" applyBorder="1" applyAlignment="1">
      <alignment horizontal="center" vertical="center"/>
    </xf>
    <xf numFmtId="0" fontId="2" fillId="17" borderId="5" xfId="0" applyFont="1" applyFill="1" applyBorder="1" applyAlignment="1">
      <alignment horizontal="center" vertical="center"/>
    </xf>
    <xf numFmtId="0" fontId="2" fillId="5" borderId="3" xfId="0" applyFont="1" applyFill="1" applyBorder="1" applyAlignment="1">
      <alignment horizontal="center" vertical="center"/>
    </xf>
    <xf numFmtId="0" fontId="2" fillId="5" borderId="10" xfId="0" applyFont="1" applyFill="1" applyBorder="1" applyAlignment="1">
      <alignment horizontal="center" vertical="center"/>
    </xf>
    <xf numFmtId="0" fontId="2" fillId="5" borderId="5" xfId="0" applyFont="1" applyFill="1" applyBorder="1" applyAlignment="1">
      <alignment horizontal="center" vertical="center"/>
    </xf>
    <xf numFmtId="0" fontId="2" fillId="6" borderId="3" xfId="0" applyFont="1" applyFill="1" applyBorder="1" applyAlignment="1">
      <alignment horizontal="center" vertical="center" wrapText="1"/>
    </xf>
    <xf numFmtId="0" fontId="2" fillId="6" borderId="10" xfId="0" applyFont="1" applyFill="1" applyBorder="1" applyAlignment="1">
      <alignment horizontal="center" vertical="center" wrapText="1"/>
    </xf>
    <xf numFmtId="0" fontId="2" fillId="6" borderId="5" xfId="0" applyFont="1" applyFill="1" applyBorder="1" applyAlignment="1">
      <alignment horizontal="center" vertical="center" wrapText="1"/>
    </xf>
    <xf numFmtId="0" fontId="2" fillId="5" borderId="3"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2" fillId="7" borderId="3" xfId="0" applyFont="1" applyFill="1" applyBorder="1" applyAlignment="1">
      <alignment horizontal="center" vertical="center" wrapText="1"/>
    </xf>
    <xf numFmtId="0" fontId="2" fillId="7" borderId="10" xfId="0" applyFont="1" applyFill="1" applyBorder="1" applyAlignment="1">
      <alignment horizontal="center" vertical="center" wrapText="1"/>
    </xf>
    <xf numFmtId="0" fontId="2" fillId="7" borderId="5" xfId="0" applyFont="1" applyFill="1" applyBorder="1" applyAlignment="1">
      <alignment horizontal="center" vertical="center" wrapText="1"/>
    </xf>
    <xf numFmtId="0" fontId="2" fillId="4" borderId="12" xfId="0" applyFont="1" applyFill="1" applyBorder="1" applyAlignment="1">
      <alignment horizontal="center" vertical="center" wrapText="1"/>
    </xf>
    <xf numFmtId="0" fontId="2" fillId="4" borderId="13" xfId="0" applyFont="1" applyFill="1" applyBorder="1" applyAlignment="1">
      <alignment horizontal="center" vertical="center" wrapText="1"/>
    </xf>
    <xf numFmtId="0" fontId="2" fillId="7" borderId="12" xfId="0" applyFont="1" applyFill="1" applyBorder="1" applyAlignment="1">
      <alignment horizontal="center" vertical="center" wrapText="1"/>
    </xf>
    <xf numFmtId="0" fontId="2" fillId="7" borderId="14" xfId="0" applyFont="1" applyFill="1" applyBorder="1" applyAlignment="1">
      <alignment horizontal="center" vertical="center" wrapText="1"/>
    </xf>
    <xf numFmtId="0" fontId="2" fillId="7" borderId="13" xfId="0" applyFont="1" applyFill="1" applyBorder="1" applyAlignment="1">
      <alignment horizontal="center" vertical="center" wrapText="1"/>
    </xf>
    <xf numFmtId="0" fontId="2" fillId="4" borderId="10" xfId="0" applyFont="1" applyFill="1" applyBorder="1" applyAlignment="1">
      <alignment horizontal="center" vertical="center" wrapText="1"/>
    </xf>
    <xf numFmtId="0" fontId="2" fillId="4" borderId="14" xfId="0" applyFont="1" applyFill="1" applyBorder="1" applyAlignment="1">
      <alignment horizontal="center" vertical="center" wrapText="1"/>
    </xf>
    <xf numFmtId="0" fontId="2" fillId="8" borderId="12" xfId="0" applyFont="1" applyFill="1" applyBorder="1" applyAlignment="1">
      <alignment horizontal="center" vertical="center" wrapText="1"/>
    </xf>
    <xf numFmtId="0" fontId="2" fillId="8" borderId="14" xfId="0" applyFont="1" applyFill="1" applyBorder="1" applyAlignment="1">
      <alignment horizontal="center" vertical="center" wrapText="1"/>
    </xf>
    <xf numFmtId="0" fontId="2" fillId="8" borderId="13" xfId="0" applyFont="1" applyFill="1" applyBorder="1" applyAlignment="1">
      <alignment horizontal="center" vertical="center" wrapText="1"/>
    </xf>
    <xf numFmtId="0" fontId="0" fillId="0" borderId="0" xfId="0" applyAlignment="1">
      <alignment horizontal="center"/>
    </xf>
    <xf numFmtId="0" fontId="0" fillId="0" borderId="9" xfId="0" applyBorder="1" applyAlignment="1">
      <alignment horizontal="center"/>
    </xf>
    <xf numFmtId="0" fontId="3" fillId="15" borderId="12" xfId="0" applyFont="1" applyFill="1" applyBorder="1" applyAlignment="1">
      <alignment horizontal="center" vertical="center" wrapText="1"/>
    </xf>
    <xf numFmtId="0" fontId="3" fillId="15" borderId="14" xfId="0" applyFont="1" applyFill="1" applyBorder="1" applyAlignment="1">
      <alignment horizontal="center" vertical="center" wrapText="1"/>
    </xf>
    <xf numFmtId="0" fontId="3" fillId="15" borderId="13"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3" fillId="15" borderId="14" xfId="0" applyFont="1" applyFill="1" applyBorder="1" applyAlignment="1">
      <alignment horizontal="center" vertical="center"/>
    </xf>
    <xf numFmtId="0" fontId="3" fillId="15" borderId="13" xfId="0" applyFont="1" applyFill="1" applyBorder="1" applyAlignment="1">
      <alignment horizontal="center" vertical="center"/>
    </xf>
    <xf numFmtId="0" fontId="3" fillId="15" borderId="14" xfId="0" applyFont="1" applyFill="1" applyBorder="1" applyAlignment="1">
      <alignment horizontal="center" wrapText="1"/>
    </xf>
    <xf numFmtId="0" fontId="3" fillId="15" borderId="13" xfId="0" applyFont="1" applyFill="1" applyBorder="1" applyAlignment="1">
      <alignment horizontal="center" wrapText="1"/>
    </xf>
    <xf numFmtId="0" fontId="8" fillId="15" borderId="12" xfId="0" applyFont="1" applyFill="1" applyBorder="1" applyAlignment="1">
      <alignment horizontal="center" vertical="center" wrapText="1"/>
    </xf>
    <xf numFmtId="0" fontId="8" fillId="15" borderId="14" xfId="0" applyFont="1" applyFill="1" applyBorder="1" applyAlignment="1">
      <alignment horizontal="center" vertical="center" wrapText="1"/>
    </xf>
    <xf numFmtId="0" fontId="8" fillId="15" borderId="13" xfId="0" applyFont="1" applyFill="1" applyBorder="1" applyAlignment="1">
      <alignment horizontal="center" vertical="center" wrapText="1"/>
    </xf>
    <xf numFmtId="0" fontId="2" fillId="17" borderId="12" xfId="0" applyFont="1" applyFill="1" applyBorder="1" applyAlignment="1">
      <alignment horizontal="center" vertical="center" wrapText="1"/>
    </xf>
    <xf numFmtId="0" fontId="2" fillId="17" borderId="14" xfId="0" applyFont="1" applyFill="1" applyBorder="1" applyAlignment="1">
      <alignment horizontal="center" vertical="center" wrapText="1"/>
    </xf>
    <xf numFmtId="0" fontId="2" fillId="17" borderId="13" xfId="0" applyFont="1" applyFill="1" applyBorder="1" applyAlignment="1">
      <alignment horizontal="center" vertical="center" wrapText="1"/>
    </xf>
    <xf numFmtId="0" fontId="2" fillId="18" borderId="12" xfId="0" applyFont="1" applyFill="1" applyBorder="1" applyAlignment="1">
      <alignment horizontal="center" vertical="center" wrapText="1"/>
    </xf>
    <xf numFmtId="0" fontId="2" fillId="18" borderId="14" xfId="0" applyFont="1" applyFill="1" applyBorder="1" applyAlignment="1">
      <alignment horizontal="center" vertical="center" wrapText="1"/>
    </xf>
    <xf numFmtId="0" fontId="2" fillId="18" borderId="13" xfId="0" applyFont="1" applyFill="1" applyBorder="1" applyAlignment="1">
      <alignment horizontal="center" vertical="center" wrapText="1"/>
    </xf>
    <xf numFmtId="0" fontId="2" fillId="18" borderId="12" xfId="0" applyFont="1" applyFill="1" applyBorder="1" applyAlignment="1">
      <alignment horizontal="center" vertical="center"/>
    </xf>
    <xf numFmtId="0" fontId="2" fillId="18" borderId="14" xfId="0" applyFont="1" applyFill="1" applyBorder="1" applyAlignment="1">
      <alignment horizontal="center" vertical="center"/>
    </xf>
    <xf numFmtId="0" fontId="2" fillId="18" borderId="13" xfId="0" applyFont="1" applyFill="1" applyBorder="1" applyAlignment="1">
      <alignment horizontal="center" vertical="center"/>
    </xf>
    <xf numFmtId="0" fontId="3" fillId="0" borderId="9" xfId="0" applyFont="1" applyBorder="1" applyAlignment="1">
      <alignment horizontal="left"/>
    </xf>
    <xf numFmtId="0" fontId="26" fillId="28" borderId="12" xfId="0" applyFont="1" applyFill="1" applyBorder="1" applyAlignment="1">
      <alignment horizontal="center" vertical="center" wrapText="1"/>
    </xf>
    <xf numFmtId="0" fontId="26" fillId="28" borderId="14" xfId="0" applyFont="1" applyFill="1" applyBorder="1" applyAlignment="1">
      <alignment horizontal="center" vertical="center" wrapText="1"/>
    </xf>
    <xf numFmtId="0" fontId="26" fillId="28" borderId="13" xfId="0" applyFont="1" applyFill="1" applyBorder="1" applyAlignment="1">
      <alignment horizontal="center" vertical="center" wrapText="1"/>
    </xf>
    <xf numFmtId="0" fontId="26" fillId="27" borderId="12" xfId="0" applyFont="1" applyFill="1" applyBorder="1" applyAlignment="1">
      <alignment horizontal="center" vertical="center" wrapText="1"/>
    </xf>
    <xf numFmtId="0" fontId="26" fillId="27" borderId="14" xfId="0" applyFont="1" applyFill="1" applyBorder="1" applyAlignment="1">
      <alignment horizontal="center" vertical="center" wrapText="1"/>
    </xf>
    <xf numFmtId="0" fontId="26" fillId="27" borderId="13" xfId="0" applyFont="1" applyFill="1" applyBorder="1" applyAlignment="1">
      <alignment horizontal="center" vertical="center" wrapText="1"/>
    </xf>
    <xf numFmtId="0" fontId="2" fillId="17" borderId="12" xfId="0" applyFont="1" applyFill="1" applyBorder="1" applyAlignment="1">
      <alignment horizontal="center" vertical="center"/>
    </xf>
    <xf numFmtId="0" fontId="2" fillId="17" borderId="14" xfId="0" applyFont="1" applyFill="1" applyBorder="1" applyAlignment="1">
      <alignment horizontal="center" vertical="center"/>
    </xf>
    <xf numFmtId="0" fontId="2" fillId="17" borderId="13" xfId="0" applyFont="1" applyFill="1" applyBorder="1" applyAlignment="1">
      <alignment horizontal="center" vertical="center"/>
    </xf>
    <xf numFmtId="0" fontId="2" fillId="8" borderId="3" xfId="0" applyFont="1" applyFill="1" applyBorder="1" applyAlignment="1">
      <alignment horizontal="center" vertical="center" wrapText="1"/>
    </xf>
    <xf numFmtId="0" fontId="2" fillId="8" borderId="10" xfId="0" applyFont="1" applyFill="1" applyBorder="1" applyAlignment="1">
      <alignment horizontal="center" vertical="center" wrapText="1"/>
    </xf>
    <xf numFmtId="0" fontId="2" fillId="8" borderId="5" xfId="0" applyFont="1" applyFill="1" applyBorder="1" applyAlignment="1">
      <alignment horizontal="center" vertical="center" wrapText="1"/>
    </xf>
    <xf numFmtId="0" fontId="3" fillId="15" borderId="8" xfId="0" applyFont="1" applyFill="1" applyBorder="1" applyAlignment="1">
      <alignment horizontal="center" vertical="center" wrapText="1"/>
    </xf>
    <xf numFmtId="0" fontId="3" fillId="15" borderId="0" xfId="0" applyFont="1" applyFill="1" applyAlignment="1">
      <alignment horizontal="center" vertical="center" wrapText="1"/>
    </xf>
    <xf numFmtId="0" fontId="26" fillId="24" borderId="12" xfId="0" applyFont="1" applyFill="1" applyBorder="1" applyAlignment="1">
      <alignment horizontal="center" vertical="center" wrapText="1"/>
    </xf>
    <xf numFmtId="0" fontId="26" fillId="24" borderId="14" xfId="0" applyFont="1" applyFill="1" applyBorder="1" applyAlignment="1">
      <alignment horizontal="center" vertical="center" wrapText="1"/>
    </xf>
    <xf numFmtId="0" fontId="26" fillId="24" borderId="13" xfId="0" applyFont="1" applyFill="1" applyBorder="1" applyAlignment="1">
      <alignment horizontal="center" vertical="center" wrapText="1"/>
    </xf>
    <xf numFmtId="0" fontId="3" fillId="0" borderId="0" xfId="0" applyFont="1" applyAlignment="1">
      <alignment horizontal="center"/>
    </xf>
    <xf numFmtId="0" fontId="2" fillId="3" borderId="12" xfId="0" applyFont="1" applyFill="1" applyBorder="1" applyAlignment="1">
      <alignment horizontal="center" vertical="center"/>
    </xf>
    <xf numFmtId="0" fontId="2" fillId="3" borderId="14" xfId="0" applyFont="1" applyFill="1" applyBorder="1" applyAlignment="1">
      <alignment horizontal="center" vertical="center"/>
    </xf>
    <xf numFmtId="0" fontId="2" fillId="3" borderId="13" xfId="0" applyFont="1" applyFill="1" applyBorder="1" applyAlignment="1">
      <alignment horizontal="center" vertical="center"/>
    </xf>
    <xf numFmtId="0" fontId="3" fillId="0" borderId="43" xfId="0" applyFont="1" applyBorder="1" applyAlignment="1">
      <alignment horizontal="left"/>
    </xf>
    <xf numFmtId="0" fontId="3" fillId="0" borderId="56" xfId="0" applyFont="1" applyBorder="1" applyAlignment="1">
      <alignment horizontal="left"/>
    </xf>
    <xf numFmtId="0" fontId="0" fillId="0" borderId="41" xfId="0" applyBorder="1" applyAlignment="1">
      <alignment horizontal="center"/>
    </xf>
    <xf numFmtId="0" fontId="0" fillId="0" borderId="45" xfId="0" applyBorder="1" applyAlignment="1">
      <alignment horizontal="center"/>
    </xf>
    <xf numFmtId="0" fontId="3" fillId="0" borderId="42" xfId="0" applyFont="1" applyBorder="1" applyAlignment="1">
      <alignment horizontal="left"/>
    </xf>
    <xf numFmtId="0" fontId="3" fillId="0" borderId="48" xfId="0" applyFont="1" applyBorder="1" applyAlignment="1">
      <alignment horizontal="left"/>
    </xf>
    <xf numFmtId="0" fontId="3" fillId="15" borderId="12" xfId="0" applyFont="1" applyFill="1" applyBorder="1" applyAlignment="1">
      <alignment horizontal="center" vertical="center"/>
    </xf>
    <xf numFmtId="0" fontId="29" fillId="0" borderId="0" xfId="0" applyFont="1" applyAlignment="1">
      <alignment horizontal="center"/>
    </xf>
    <xf numFmtId="0" fontId="2" fillId="5" borderId="3" xfId="0" applyFont="1" applyFill="1" applyBorder="1" applyAlignment="1">
      <alignment horizontal="center"/>
    </xf>
    <xf numFmtId="0" fontId="2" fillId="5" borderId="8" xfId="0" applyFont="1" applyFill="1" applyBorder="1" applyAlignment="1">
      <alignment horizontal="center"/>
    </xf>
    <xf numFmtId="0" fontId="2" fillId="5" borderId="4" xfId="0" applyFont="1" applyFill="1" applyBorder="1" applyAlignment="1">
      <alignment horizontal="center"/>
    </xf>
    <xf numFmtId="16" fontId="3" fillId="0" borderId="16" xfId="0" quotePrefix="1" applyNumberFormat="1" applyFont="1" applyBorder="1" applyAlignment="1">
      <alignment horizontal="center"/>
    </xf>
    <xf numFmtId="16" fontId="3" fillId="0" borderId="7" xfId="0" quotePrefix="1" applyNumberFormat="1" applyFont="1" applyBorder="1" applyAlignment="1">
      <alignment horizontal="center"/>
    </xf>
    <xf numFmtId="16" fontId="3" fillId="0" borderId="2" xfId="0" quotePrefix="1" applyNumberFormat="1" applyFont="1" applyBorder="1" applyAlignment="1">
      <alignment horizontal="center"/>
    </xf>
    <xf numFmtId="0" fontId="8" fillId="4" borderId="16" xfId="0" applyFont="1" applyFill="1" applyBorder="1" applyAlignment="1" applyProtection="1">
      <alignment horizontal="center"/>
      <protection locked="0"/>
    </xf>
    <xf numFmtId="0" fontId="8" fillId="4" borderId="7" xfId="0" applyFont="1" applyFill="1" applyBorder="1" applyAlignment="1" applyProtection="1">
      <alignment horizontal="center"/>
      <protection locked="0"/>
    </xf>
    <xf numFmtId="0" fontId="8" fillId="4" borderId="2" xfId="0" applyFont="1" applyFill="1" applyBorder="1" applyAlignment="1" applyProtection="1">
      <alignment horizontal="center"/>
      <protection locked="0"/>
    </xf>
    <xf numFmtId="0" fontId="31" fillId="5" borderId="3" xfId="0" applyFont="1" applyFill="1" applyBorder="1" applyAlignment="1" applyProtection="1">
      <alignment horizontal="center" vertical="center"/>
      <protection locked="0"/>
    </xf>
    <xf numFmtId="0" fontId="31" fillId="5" borderId="8" xfId="0" applyFont="1" applyFill="1" applyBorder="1" applyAlignment="1" applyProtection="1">
      <alignment horizontal="center" vertical="center"/>
      <protection locked="0"/>
    </xf>
    <xf numFmtId="0" fontId="31" fillId="5" borderId="4" xfId="0" applyFont="1" applyFill="1" applyBorder="1" applyAlignment="1" applyProtection="1">
      <alignment horizontal="center" vertical="center"/>
      <protection locked="0"/>
    </xf>
    <xf numFmtId="0" fontId="2" fillId="8" borderId="16" xfId="0" applyFont="1" applyFill="1" applyBorder="1" applyAlignment="1" applyProtection="1">
      <alignment horizontal="center"/>
      <protection locked="0"/>
    </xf>
    <xf numFmtId="0" fontId="2" fillId="8" borderId="7" xfId="0" applyFont="1" applyFill="1" applyBorder="1" applyAlignment="1" applyProtection="1">
      <alignment horizontal="center"/>
      <protection locked="0"/>
    </xf>
    <xf numFmtId="0" fontId="2" fillId="8" borderId="2" xfId="0" applyFont="1" applyFill="1" applyBorder="1" applyAlignment="1" applyProtection="1">
      <alignment horizontal="center"/>
      <protection locked="0"/>
    </xf>
    <xf numFmtId="0" fontId="39" fillId="16" borderId="16" xfId="0" applyFont="1" applyFill="1" applyBorder="1" applyAlignment="1" applyProtection="1">
      <alignment horizontal="center" wrapText="1"/>
      <protection locked="0"/>
    </xf>
    <xf numFmtId="0" fontId="39" fillId="16" borderId="7" xfId="0" applyFont="1" applyFill="1" applyBorder="1" applyAlignment="1" applyProtection="1">
      <alignment horizontal="center" wrapText="1"/>
      <protection locked="0"/>
    </xf>
    <xf numFmtId="0" fontId="39" fillId="16" borderId="2" xfId="0" applyFont="1" applyFill="1" applyBorder="1" applyAlignment="1" applyProtection="1">
      <alignment horizontal="center" wrapText="1"/>
      <protection locked="0"/>
    </xf>
    <xf numFmtId="0" fontId="38" fillId="16" borderId="16" xfId="0" quotePrefix="1" applyFont="1" applyFill="1" applyBorder="1" applyAlignment="1" applyProtection="1">
      <alignment horizontal="center"/>
      <protection locked="0"/>
    </xf>
    <xf numFmtId="0" fontId="38" fillId="16" borderId="7" xfId="0" quotePrefix="1" applyFont="1" applyFill="1" applyBorder="1" applyAlignment="1" applyProtection="1">
      <alignment horizontal="center"/>
      <protection locked="0"/>
    </xf>
    <xf numFmtId="0" fontId="38" fillId="16" borderId="2" xfId="0" quotePrefix="1" applyFont="1" applyFill="1" applyBorder="1" applyAlignment="1" applyProtection="1">
      <alignment horizontal="center"/>
      <protection locked="0"/>
    </xf>
    <xf numFmtId="0" fontId="3" fillId="4" borderId="16" xfId="0" applyFont="1" applyFill="1" applyBorder="1" applyAlignment="1">
      <alignment horizontal="center"/>
    </xf>
    <xf numFmtId="0" fontId="3" fillId="4" borderId="7" xfId="0" applyFont="1" applyFill="1" applyBorder="1" applyAlignment="1">
      <alignment horizontal="center"/>
    </xf>
    <xf numFmtId="0" fontId="3" fillId="4" borderId="2" xfId="0" applyFont="1" applyFill="1" applyBorder="1" applyAlignment="1">
      <alignment horizontal="center"/>
    </xf>
    <xf numFmtId="0" fontId="2" fillId="3" borderId="3" xfId="0" applyFont="1" applyFill="1" applyBorder="1" applyAlignment="1" applyProtection="1">
      <alignment horizontal="center"/>
      <protection locked="0"/>
    </xf>
    <xf numFmtId="0" fontId="2" fillId="3" borderId="8" xfId="0" applyFont="1" applyFill="1" applyBorder="1" applyAlignment="1" applyProtection="1">
      <alignment horizontal="center"/>
      <protection locked="0"/>
    </xf>
    <xf numFmtId="0" fontId="2" fillId="3" borderId="4" xfId="0" applyFont="1" applyFill="1" applyBorder="1" applyAlignment="1" applyProtection="1">
      <alignment horizontal="center"/>
      <protection locked="0"/>
    </xf>
    <xf numFmtId="0" fontId="31" fillId="5" borderId="41" xfId="0" applyFont="1" applyFill="1" applyBorder="1" applyAlignment="1" applyProtection="1">
      <alignment horizontal="center" vertical="center"/>
      <protection locked="0"/>
    </xf>
    <xf numFmtId="0" fontId="31" fillId="5" borderId="45" xfId="0" applyFont="1" applyFill="1" applyBorder="1" applyAlignment="1" applyProtection="1">
      <alignment horizontal="center" vertical="center"/>
      <protection locked="0"/>
    </xf>
    <xf numFmtId="0" fontId="3" fillId="0" borderId="3" xfId="0" applyFont="1" applyBorder="1" applyAlignment="1">
      <alignment horizontal="left" vertical="top" wrapText="1"/>
    </xf>
    <xf numFmtId="0" fontId="3" fillId="0" borderId="8" xfId="0" applyFont="1" applyBorder="1" applyAlignment="1">
      <alignment horizontal="left" vertical="top" wrapText="1"/>
    </xf>
    <xf numFmtId="0" fontId="3" fillId="0" borderId="4" xfId="0" applyFont="1" applyBorder="1" applyAlignment="1">
      <alignment horizontal="left" vertical="top" wrapText="1"/>
    </xf>
    <xf numFmtId="0" fontId="3" fillId="0" borderId="5" xfId="0" applyFont="1" applyBorder="1" applyAlignment="1">
      <alignment horizontal="left" vertical="top" wrapText="1"/>
    </xf>
    <xf numFmtId="0" fontId="3" fillId="0" borderId="9" xfId="0" applyFont="1" applyBorder="1" applyAlignment="1">
      <alignment horizontal="left" vertical="top" wrapText="1"/>
    </xf>
    <xf numFmtId="0" fontId="3" fillId="0" borderId="6" xfId="0" applyFont="1" applyBorder="1" applyAlignment="1">
      <alignment horizontal="left" vertical="top" wrapText="1"/>
    </xf>
    <xf numFmtId="0" fontId="2" fillId="5" borderId="16" xfId="0" applyFont="1" applyFill="1" applyBorder="1" applyAlignment="1" applyProtection="1">
      <alignment horizontal="center"/>
      <protection locked="0"/>
    </xf>
    <xf numFmtId="0" fontId="2" fillId="5" borderId="7" xfId="0" applyFont="1" applyFill="1" applyBorder="1" applyAlignment="1" applyProtection="1">
      <alignment horizontal="center"/>
      <protection locked="0"/>
    </xf>
    <xf numFmtId="0" fontId="2" fillId="5" borderId="2" xfId="0" applyFont="1" applyFill="1" applyBorder="1" applyAlignment="1" applyProtection="1">
      <alignment horizontal="center"/>
      <protection locked="0"/>
    </xf>
    <xf numFmtId="0" fontId="0" fillId="0" borderId="16" xfId="0" applyBorder="1" applyAlignment="1" applyProtection="1">
      <alignment horizontal="left" vertical="center"/>
      <protection locked="0"/>
    </xf>
    <xf numFmtId="0" fontId="0" fillId="0" borderId="7" xfId="0" applyBorder="1" applyAlignment="1" applyProtection="1">
      <alignment horizontal="left" vertical="center"/>
      <protection locked="0"/>
    </xf>
    <xf numFmtId="0" fontId="39" fillId="16" borderId="42" xfId="0" applyFont="1" applyFill="1" applyBorder="1" applyAlignment="1" applyProtection="1">
      <alignment horizontal="center"/>
      <protection locked="0"/>
    </xf>
    <xf numFmtId="0" fontId="39" fillId="16" borderId="48" xfId="0" applyFont="1" applyFill="1" applyBorder="1" applyAlignment="1" applyProtection="1">
      <alignment horizontal="center"/>
      <protection locked="0"/>
    </xf>
    <xf numFmtId="0" fontId="2" fillId="8" borderId="41" xfId="0" applyFont="1" applyFill="1" applyBorder="1" applyAlignment="1" applyProtection="1">
      <alignment horizontal="center"/>
      <protection locked="0"/>
    </xf>
    <xf numFmtId="0" fontId="2" fillId="8" borderId="45" xfId="0" applyFont="1" applyFill="1" applyBorder="1" applyAlignment="1" applyProtection="1">
      <alignment horizontal="center"/>
      <protection locked="0"/>
    </xf>
    <xf numFmtId="0" fontId="41" fillId="16" borderId="46" xfId="4" applyFont="1" applyFill="1" applyBorder="1" applyAlignment="1" applyProtection="1">
      <alignment horizontal="center"/>
      <protection locked="0"/>
    </xf>
    <xf numFmtId="0" fontId="41" fillId="16" borderId="39" xfId="4" applyFont="1" applyFill="1" applyBorder="1" applyAlignment="1" applyProtection="1">
      <alignment horizontal="center"/>
      <protection locked="0"/>
    </xf>
    <xf numFmtId="0" fontId="41" fillId="16" borderId="47" xfId="4" applyFont="1" applyFill="1" applyBorder="1" applyAlignment="1" applyProtection="1">
      <alignment horizontal="center"/>
      <protection locked="0"/>
    </xf>
    <xf numFmtId="0" fontId="38" fillId="16" borderId="16" xfId="0" quotePrefix="1" applyFont="1" applyFill="1" applyBorder="1" applyAlignment="1" applyProtection="1">
      <alignment horizontal="center" wrapText="1"/>
      <protection locked="0"/>
    </xf>
    <xf numFmtId="0" fontId="38" fillId="16" borderId="7" xfId="0" quotePrefix="1" applyFont="1" applyFill="1" applyBorder="1" applyAlignment="1" applyProtection="1">
      <alignment horizontal="center" wrapText="1"/>
      <protection locked="0"/>
    </xf>
    <xf numFmtId="0" fontId="38" fillId="16" borderId="2" xfId="0" quotePrefix="1" applyFont="1" applyFill="1" applyBorder="1" applyAlignment="1" applyProtection="1">
      <alignment horizontal="center" wrapText="1"/>
      <protection locked="0"/>
    </xf>
    <xf numFmtId="0" fontId="39" fillId="16" borderId="3" xfId="0" applyFont="1" applyFill="1" applyBorder="1" applyAlignment="1" applyProtection="1">
      <alignment horizontal="center" vertical="center" wrapText="1"/>
      <protection locked="0"/>
    </xf>
    <xf numFmtId="0" fontId="39" fillId="16" borderId="8" xfId="0" applyFont="1" applyFill="1" applyBorder="1" applyAlignment="1" applyProtection="1">
      <alignment horizontal="center" vertical="center" wrapText="1"/>
      <protection locked="0"/>
    </xf>
    <xf numFmtId="0" fontId="39" fillId="16" borderId="4" xfId="0" applyFont="1" applyFill="1" applyBorder="1" applyAlignment="1" applyProtection="1">
      <alignment horizontal="center" vertical="center" wrapText="1"/>
      <protection locked="0"/>
    </xf>
    <xf numFmtId="0" fontId="39" fillId="16" borderId="5" xfId="0" applyFont="1" applyFill="1" applyBorder="1" applyAlignment="1" applyProtection="1">
      <alignment horizontal="center" vertical="center" wrapText="1"/>
      <protection locked="0"/>
    </xf>
    <xf numFmtId="0" fontId="39" fillId="16" borderId="9" xfId="0" applyFont="1" applyFill="1" applyBorder="1" applyAlignment="1" applyProtection="1">
      <alignment horizontal="center" vertical="center" wrapText="1"/>
      <protection locked="0"/>
    </xf>
    <xf numFmtId="0" fontId="39" fillId="16" borderId="6" xfId="0" applyFont="1" applyFill="1" applyBorder="1" applyAlignment="1" applyProtection="1">
      <alignment horizontal="center" vertical="center" wrapText="1"/>
      <protection locked="0"/>
    </xf>
    <xf numFmtId="0" fontId="8" fillId="4" borderId="16" xfId="0" applyFont="1" applyFill="1" applyBorder="1" applyAlignment="1" applyProtection="1">
      <alignment horizontal="left"/>
      <protection locked="0"/>
    </xf>
    <xf numFmtId="0" fontId="8" fillId="4" borderId="7" xfId="0" applyFont="1" applyFill="1" applyBorder="1" applyAlignment="1" applyProtection="1">
      <alignment horizontal="left"/>
      <protection locked="0"/>
    </xf>
    <xf numFmtId="0" fontId="8" fillId="4" borderId="2" xfId="0" applyFont="1" applyFill="1" applyBorder="1" applyAlignment="1" applyProtection="1">
      <alignment horizontal="left"/>
      <protection locked="0"/>
    </xf>
    <xf numFmtId="0" fontId="38" fillId="16" borderId="46" xfId="0" applyFont="1" applyFill="1" applyBorder="1" applyAlignment="1" applyProtection="1">
      <alignment horizontal="center" wrapText="1"/>
      <protection locked="0"/>
    </xf>
    <xf numFmtId="0" fontId="38" fillId="16" borderId="39" xfId="0" applyFont="1" applyFill="1" applyBorder="1" applyAlignment="1" applyProtection="1">
      <alignment horizontal="center" wrapText="1"/>
      <protection locked="0"/>
    </xf>
    <xf numFmtId="0" fontId="38" fillId="16" borderId="47" xfId="0" applyFont="1" applyFill="1" applyBorder="1" applyAlignment="1" applyProtection="1">
      <alignment horizontal="center" wrapText="1"/>
      <protection locked="0"/>
    </xf>
    <xf numFmtId="0" fontId="31" fillId="5" borderId="61" xfId="0" applyFont="1" applyFill="1" applyBorder="1" applyAlignment="1" applyProtection="1">
      <alignment horizontal="center" vertical="center"/>
      <protection locked="0"/>
    </xf>
    <xf numFmtId="0" fontId="28" fillId="16" borderId="3" xfId="0" applyFont="1" applyFill="1" applyBorder="1" applyAlignment="1">
      <alignment horizontal="left" vertical="top" wrapText="1"/>
    </xf>
    <xf numFmtId="0" fontId="28" fillId="16" borderId="4" xfId="0" applyFont="1" applyFill="1" applyBorder="1" applyAlignment="1">
      <alignment horizontal="left" vertical="top" wrapText="1"/>
    </xf>
    <xf numFmtId="0" fontId="28" fillId="16" borderId="10" xfId="0" applyFont="1" applyFill="1" applyBorder="1" applyAlignment="1">
      <alignment horizontal="left" vertical="top" wrapText="1"/>
    </xf>
    <xf numFmtId="0" fontId="28" fillId="16" borderId="11" xfId="0" applyFont="1" applyFill="1" applyBorder="1" applyAlignment="1">
      <alignment horizontal="left" vertical="top" wrapText="1"/>
    </xf>
    <xf numFmtId="0" fontId="28" fillId="16" borderId="5" xfId="0" applyFont="1" applyFill="1" applyBorder="1" applyAlignment="1">
      <alignment horizontal="left" vertical="top" wrapText="1"/>
    </xf>
    <xf numFmtId="0" fontId="28" fillId="16" borderId="6" xfId="0" applyFont="1" applyFill="1" applyBorder="1" applyAlignment="1">
      <alignment horizontal="left" vertical="top" wrapText="1"/>
    </xf>
    <xf numFmtId="0" fontId="2" fillId="8" borderId="3" xfId="0" applyFont="1" applyFill="1" applyBorder="1" applyAlignment="1" applyProtection="1">
      <alignment horizontal="center"/>
      <protection locked="0"/>
    </xf>
    <xf numFmtId="0" fontId="2" fillId="8" borderId="8" xfId="0" applyFont="1" applyFill="1" applyBorder="1" applyAlignment="1" applyProtection="1">
      <alignment horizontal="center"/>
      <protection locked="0"/>
    </xf>
    <xf numFmtId="0" fontId="2" fillId="8" borderId="4" xfId="0" applyFont="1" applyFill="1" applyBorder="1" applyAlignment="1" applyProtection="1">
      <alignment horizontal="center"/>
      <protection locked="0"/>
    </xf>
    <xf numFmtId="0" fontId="38" fillId="16" borderId="10" xfId="0" applyFont="1" applyFill="1" applyBorder="1" applyAlignment="1" applyProtection="1">
      <alignment horizontal="center" wrapText="1"/>
      <protection locked="0"/>
    </xf>
    <xf numFmtId="0" fontId="38" fillId="16" borderId="0" xfId="0" applyFont="1" applyFill="1" applyAlignment="1" applyProtection="1">
      <alignment horizontal="center" wrapText="1"/>
      <protection locked="0"/>
    </xf>
    <xf numFmtId="0" fontId="38" fillId="16" borderId="11" xfId="0" applyFont="1" applyFill="1" applyBorder="1" applyAlignment="1" applyProtection="1">
      <alignment horizontal="center" wrapText="1"/>
      <protection locked="0"/>
    </xf>
    <xf numFmtId="0" fontId="28" fillId="14" borderId="3" xfId="0" applyFont="1" applyFill="1" applyBorder="1" applyAlignment="1" applyProtection="1">
      <alignment horizontal="left" vertical="center" wrapText="1"/>
      <protection locked="0"/>
    </xf>
    <xf numFmtId="0" fontId="28" fillId="14" borderId="8" xfId="0" applyFont="1" applyFill="1" applyBorder="1" applyAlignment="1" applyProtection="1">
      <alignment horizontal="left" vertical="center" wrapText="1"/>
      <protection locked="0"/>
    </xf>
    <xf numFmtId="0" fontId="28" fillId="14" borderId="4" xfId="0" applyFont="1" applyFill="1" applyBorder="1" applyAlignment="1" applyProtection="1">
      <alignment horizontal="left" vertical="center" wrapText="1"/>
      <protection locked="0"/>
    </xf>
    <xf numFmtId="0" fontId="28" fillId="14" borderId="5" xfId="0" applyFont="1" applyFill="1" applyBorder="1" applyAlignment="1" applyProtection="1">
      <alignment horizontal="left" vertical="center" wrapText="1"/>
      <protection locked="0"/>
    </xf>
    <xf numFmtId="0" fontId="28" fillId="14" borderId="9" xfId="0" applyFont="1" applyFill="1" applyBorder="1" applyAlignment="1" applyProtection="1">
      <alignment horizontal="left" vertical="center" wrapText="1"/>
      <protection locked="0"/>
    </xf>
    <xf numFmtId="0" fontId="28" fillId="14" borderId="6" xfId="0" applyFont="1" applyFill="1" applyBorder="1" applyAlignment="1" applyProtection="1">
      <alignment horizontal="left" vertical="center" wrapText="1"/>
      <protection locked="0"/>
    </xf>
    <xf numFmtId="0" fontId="28" fillId="12" borderId="16" xfId="0" applyFont="1" applyFill="1" applyBorder="1" applyAlignment="1" applyProtection="1">
      <alignment horizontal="left" wrapText="1"/>
      <protection locked="0"/>
    </xf>
    <xf numFmtId="0" fontId="28" fillId="12" borderId="7" xfId="0" applyFont="1" applyFill="1" applyBorder="1" applyAlignment="1" applyProtection="1">
      <alignment horizontal="left" wrapText="1"/>
      <protection locked="0"/>
    </xf>
    <xf numFmtId="0" fontId="28" fillId="12" borderId="2" xfId="0" applyFont="1" applyFill="1" applyBorder="1" applyAlignment="1" applyProtection="1">
      <alignment horizontal="left" wrapText="1"/>
      <protection locked="0"/>
    </xf>
    <xf numFmtId="169" fontId="8" fillId="29" borderId="25" xfId="1" applyNumberFormat="1" applyFont="1" applyFill="1" applyBorder="1" applyAlignment="1" applyProtection="1">
      <alignment horizontal="left" wrapText="1"/>
      <protection locked="0"/>
    </xf>
    <xf numFmtId="169" fontId="8" fillId="29" borderId="19" xfId="1" applyNumberFormat="1" applyFont="1" applyFill="1" applyBorder="1" applyAlignment="1" applyProtection="1">
      <alignment horizontal="left" wrapText="1"/>
      <protection locked="0"/>
    </xf>
    <xf numFmtId="0" fontId="28" fillId="14" borderId="16" xfId="0" applyFont="1" applyFill="1" applyBorder="1" applyAlignment="1" applyProtection="1">
      <alignment horizontal="left" vertical="center" wrapText="1"/>
      <protection locked="0"/>
    </xf>
    <xf numFmtId="0" fontId="28" fillId="14" borderId="7" xfId="0" applyFont="1" applyFill="1" applyBorder="1" applyAlignment="1" applyProtection="1">
      <alignment horizontal="left" vertical="center" wrapText="1"/>
      <protection locked="0"/>
    </xf>
    <xf numFmtId="0" fontId="28" fillId="14" borderId="2" xfId="0" applyFont="1" applyFill="1" applyBorder="1" applyAlignment="1" applyProtection="1">
      <alignment horizontal="left" vertical="center" wrapText="1"/>
      <protection locked="0"/>
    </xf>
    <xf numFmtId="169" fontId="0" fillId="14" borderId="76" xfId="0" applyNumberFormat="1" applyFill="1" applyBorder="1" applyAlignment="1">
      <alignment horizontal="center"/>
    </xf>
    <xf numFmtId="169" fontId="0" fillId="14" borderId="73" xfId="0" applyNumberFormat="1" applyFill="1" applyBorder="1" applyAlignment="1">
      <alignment horizontal="center"/>
    </xf>
    <xf numFmtId="169" fontId="0" fillId="14" borderId="66" xfId="1" applyNumberFormat="1" applyFont="1" applyFill="1" applyBorder="1" applyAlignment="1" applyProtection="1">
      <alignment horizontal="center" vertical="center"/>
    </xf>
    <xf numFmtId="169" fontId="0" fillId="14" borderId="49" xfId="1" applyNumberFormat="1" applyFont="1" applyFill="1" applyBorder="1" applyAlignment="1" applyProtection="1">
      <alignment horizontal="center" vertical="center"/>
    </xf>
    <xf numFmtId="169" fontId="0" fillId="14" borderId="51" xfId="0" applyNumberFormat="1" applyFill="1" applyBorder="1" applyAlignment="1">
      <alignment horizontal="center" vertical="center"/>
    </xf>
    <xf numFmtId="169" fontId="0" fillId="14" borderId="49" xfId="0" applyNumberFormat="1" applyFill="1" applyBorder="1" applyAlignment="1">
      <alignment horizontal="center" vertical="center"/>
    </xf>
    <xf numFmtId="0" fontId="36" fillId="3" borderId="16" xfId="0" applyFont="1" applyFill="1" applyBorder="1" applyAlignment="1" applyProtection="1">
      <alignment horizontal="center"/>
      <protection locked="0"/>
    </xf>
    <xf numFmtId="0" fontId="36" fillId="3" borderId="7" xfId="0" applyFont="1" applyFill="1" applyBorder="1" applyAlignment="1" applyProtection="1">
      <alignment horizontal="center"/>
      <protection locked="0"/>
    </xf>
    <xf numFmtId="0" fontId="36" fillId="3" borderId="2" xfId="0" applyFont="1" applyFill="1" applyBorder="1" applyAlignment="1" applyProtection="1">
      <alignment horizontal="center"/>
      <protection locked="0"/>
    </xf>
    <xf numFmtId="0" fontId="28" fillId="14" borderId="3" xfId="0" applyFont="1" applyFill="1" applyBorder="1" applyAlignment="1" applyProtection="1">
      <alignment horizontal="left" wrapText="1"/>
      <protection locked="0"/>
    </xf>
    <xf numFmtId="0" fontId="28" fillId="14" borderId="8" xfId="0" applyFont="1" applyFill="1" applyBorder="1" applyAlignment="1" applyProtection="1">
      <alignment horizontal="left" wrapText="1"/>
      <protection locked="0"/>
    </xf>
    <xf numFmtId="0" fontId="28" fillId="14" borderId="4" xfId="0" applyFont="1" applyFill="1" applyBorder="1" applyAlignment="1" applyProtection="1">
      <alignment horizontal="left" wrapText="1"/>
      <protection locked="0"/>
    </xf>
    <xf numFmtId="0" fontId="28" fillId="14" borderId="5" xfId="0" applyFont="1" applyFill="1" applyBorder="1" applyAlignment="1" applyProtection="1">
      <alignment horizontal="left" wrapText="1"/>
      <protection locked="0"/>
    </xf>
    <xf numFmtId="0" fontId="28" fillId="14" borderId="9" xfId="0" applyFont="1" applyFill="1" applyBorder="1" applyAlignment="1" applyProtection="1">
      <alignment horizontal="left" wrapText="1"/>
      <protection locked="0"/>
    </xf>
    <xf numFmtId="0" fontId="28" fillId="14" borderId="6" xfId="0" applyFont="1" applyFill="1" applyBorder="1" applyAlignment="1" applyProtection="1">
      <alignment horizontal="left" wrapText="1"/>
      <protection locked="0"/>
    </xf>
    <xf numFmtId="0" fontId="26" fillId="34" borderId="0" xfId="0" applyFont="1" applyFill="1" applyAlignment="1" applyProtection="1">
      <alignment horizontal="center" vertical="center" wrapText="1"/>
      <protection locked="0"/>
    </xf>
    <xf numFmtId="0" fontId="26" fillId="32" borderId="24" xfId="0" applyFont="1" applyFill="1" applyBorder="1" applyAlignment="1" applyProtection="1">
      <alignment horizontal="center"/>
      <protection locked="0"/>
    </xf>
    <xf numFmtId="0" fontId="26" fillId="32" borderId="17" xfId="0" applyFont="1" applyFill="1" applyBorder="1" applyAlignment="1" applyProtection="1">
      <alignment horizontal="center"/>
      <protection locked="0"/>
    </xf>
    <xf numFmtId="0" fontId="26" fillId="32" borderId="18" xfId="0" applyFont="1" applyFill="1" applyBorder="1" applyAlignment="1" applyProtection="1">
      <alignment horizontal="center"/>
      <protection locked="0"/>
    </xf>
    <xf numFmtId="0" fontId="30" fillId="31" borderId="26" xfId="0" applyFont="1" applyFill="1" applyBorder="1" applyAlignment="1" applyProtection="1">
      <alignment horizontal="left" vertical="center" wrapText="1"/>
      <protection locked="0"/>
    </xf>
    <xf numFmtId="0" fontId="30" fillId="31" borderId="15" xfId="0" applyFont="1" applyFill="1" applyBorder="1" applyAlignment="1" applyProtection="1">
      <alignment horizontal="left" vertical="center" wrapText="1"/>
      <protection locked="0"/>
    </xf>
    <xf numFmtId="0" fontId="30" fillId="31" borderId="27" xfId="0" applyFont="1" applyFill="1" applyBorder="1" applyAlignment="1" applyProtection="1">
      <alignment horizontal="left" vertical="center" wrapText="1"/>
      <protection locked="0"/>
    </xf>
    <xf numFmtId="169" fontId="0" fillId="14" borderId="37" xfId="0" applyNumberFormat="1" applyFill="1" applyBorder="1" applyAlignment="1">
      <alignment horizontal="center" vertical="center"/>
    </xf>
    <xf numFmtId="169" fontId="0" fillId="14" borderId="44" xfId="0" applyNumberFormat="1" applyFill="1" applyBorder="1" applyAlignment="1">
      <alignment horizontal="center" vertical="center"/>
    </xf>
    <xf numFmtId="169" fontId="0" fillId="14" borderId="15" xfId="0" applyNumberFormat="1" applyFill="1" applyBorder="1" applyAlignment="1">
      <alignment horizontal="center" vertical="center"/>
    </xf>
    <xf numFmtId="0" fontId="2" fillId="3" borderId="41" xfId="0" applyFont="1" applyFill="1" applyBorder="1" applyAlignment="1" applyProtection="1">
      <alignment horizontal="center"/>
      <protection locked="0"/>
    </xf>
    <xf numFmtId="0" fontId="2" fillId="3" borderId="61" xfId="0" applyFont="1" applyFill="1" applyBorder="1" applyAlignment="1" applyProtection="1">
      <alignment horizontal="center"/>
      <protection locked="0"/>
    </xf>
    <xf numFmtId="0" fontId="2" fillId="3" borderId="45" xfId="0" applyFont="1" applyFill="1" applyBorder="1" applyAlignment="1" applyProtection="1">
      <alignment horizontal="center"/>
      <protection locked="0"/>
    </xf>
    <xf numFmtId="0" fontId="28" fillId="12" borderId="42" xfId="0" applyFont="1" applyFill="1" applyBorder="1" applyAlignment="1" applyProtection="1">
      <alignment horizontal="left" wrapText="1"/>
      <protection locked="0"/>
    </xf>
    <xf numFmtId="0" fontId="28" fillId="12" borderId="44" xfId="0" applyFont="1" applyFill="1" applyBorder="1" applyAlignment="1" applyProtection="1">
      <alignment horizontal="left" wrapText="1"/>
      <protection locked="0"/>
    </xf>
    <xf numFmtId="0" fontId="28" fillId="12" borderId="48" xfId="0" applyFont="1" applyFill="1" applyBorder="1" applyAlignment="1" applyProtection="1">
      <alignment horizontal="left" wrapText="1"/>
      <protection locked="0"/>
    </xf>
    <xf numFmtId="169" fontId="0" fillId="14" borderId="3" xfId="1" applyNumberFormat="1" applyFont="1" applyFill="1" applyBorder="1" applyAlignment="1" applyProtection="1">
      <alignment horizontal="center"/>
    </xf>
    <xf numFmtId="169" fontId="0" fillId="14" borderId="73" xfId="1" applyNumberFormat="1" applyFont="1" applyFill="1" applyBorder="1" applyAlignment="1" applyProtection="1">
      <alignment horizontal="center"/>
    </xf>
    <xf numFmtId="0" fontId="2" fillId="8" borderId="16" xfId="0" applyFont="1" applyFill="1" applyBorder="1" applyAlignment="1" applyProtection="1">
      <alignment horizontal="left"/>
      <protection locked="0"/>
    </xf>
    <xf numFmtId="0" fontId="2" fillId="8" borderId="7" xfId="0" applyFont="1" applyFill="1" applyBorder="1" applyAlignment="1" applyProtection="1">
      <alignment horizontal="left"/>
      <protection locked="0"/>
    </xf>
    <xf numFmtId="0" fontId="2" fillId="8" borderId="2" xfId="0" applyFont="1" applyFill="1" applyBorder="1" applyAlignment="1" applyProtection="1">
      <alignment horizontal="left"/>
      <protection locked="0"/>
    </xf>
    <xf numFmtId="169" fontId="0" fillId="14" borderId="28" xfId="0" applyNumberFormat="1" applyFill="1" applyBorder="1" applyAlignment="1">
      <alignment horizontal="center" vertical="center"/>
    </xf>
    <xf numFmtId="169" fontId="0" fillId="14" borderId="28" xfId="1" applyNumberFormat="1" applyFont="1" applyFill="1" applyBorder="1" applyAlignment="1" applyProtection="1">
      <alignment horizontal="center" vertical="center"/>
    </xf>
    <xf numFmtId="169" fontId="0" fillId="14" borderId="29" xfId="1" applyNumberFormat="1" applyFont="1" applyFill="1" applyBorder="1" applyAlignment="1" applyProtection="1">
      <alignment horizontal="center" vertical="center"/>
    </xf>
    <xf numFmtId="169" fontId="0" fillId="14" borderId="58" xfId="1" applyNumberFormat="1" applyFont="1" applyFill="1" applyBorder="1" applyAlignment="1" applyProtection="1">
      <alignment horizontal="center" vertical="center"/>
    </xf>
    <xf numFmtId="166" fontId="0" fillId="14" borderId="30" xfId="2" applyNumberFormat="1" applyFont="1" applyFill="1" applyBorder="1" applyAlignment="1" applyProtection="1">
      <alignment horizontal="center" vertical="center"/>
    </xf>
    <xf numFmtId="166" fontId="0" fillId="14" borderId="31" xfId="2" applyNumberFormat="1" applyFont="1" applyFill="1" applyBorder="1" applyAlignment="1" applyProtection="1">
      <alignment horizontal="center" vertical="center"/>
    </xf>
    <xf numFmtId="169" fontId="0" fillId="14" borderId="29" xfId="0" applyNumberFormat="1" applyFill="1" applyBorder="1" applyAlignment="1">
      <alignment horizontal="center" vertical="center"/>
    </xf>
    <xf numFmtId="169" fontId="0" fillId="14" borderId="40" xfId="1" applyNumberFormat="1" applyFont="1" applyFill="1" applyBorder="1" applyAlignment="1" applyProtection="1">
      <alignment horizontal="center" vertical="center"/>
    </xf>
    <xf numFmtId="0" fontId="2" fillId="7" borderId="16" xfId="0" applyFont="1" applyFill="1" applyBorder="1" applyAlignment="1" applyProtection="1">
      <alignment horizontal="left"/>
      <protection locked="0"/>
    </xf>
    <xf numFmtId="0" fontId="2" fillId="7" borderId="7" xfId="0" applyFont="1" applyFill="1" applyBorder="1" applyAlignment="1" applyProtection="1">
      <alignment horizontal="left"/>
      <protection locked="0"/>
    </xf>
    <xf numFmtId="0" fontId="2" fillId="7" borderId="2" xfId="0" applyFont="1" applyFill="1" applyBorder="1" applyAlignment="1" applyProtection="1">
      <alignment horizontal="left"/>
      <protection locked="0"/>
    </xf>
    <xf numFmtId="0" fontId="2" fillId="6" borderId="16" xfId="0" applyFont="1" applyFill="1" applyBorder="1" applyAlignment="1" applyProtection="1">
      <alignment horizontal="left"/>
      <protection locked="0"/>
    </xf>
    <xf numFmtId="0" fontId="2" fillId="6" borderId="7" xfId="0" applyFont="1" applyFill="1" applyBorder="1" applyAlignment="1" applyProtection="1">
      <alignment horizontal="left"/>
      <protection locked="0"/>
    </xf>
    <xf numFmtId="0" fontId="2" fillId="6" borderId="2" xfId="0" applyFont="1" applyFill="1" applyBorder="1" applyAlignment="1" applyProtection="1">
      <alignment horizontal="left"/>
      <protection locked="0"/>
    </xf>
    <xf numFmtId="0" fontId="2" fillId="5" borderId="16" xfId="0" applyFont="1" applyFill="1" applyBorder="1" applyAlignment="1" applyProtection="1">
      <alignment horizontal="left"/>
      <protection locked="0"/>
    </xf>
    <xf numFmtId="0" fontId="2" fillId="5" borderId="7" xfId="0" applyFont="1" applyFill="1" applyBorder="1" applyAlignment="1" applyProtection="1">
      <alignment horizontal="left"/>
      <protection locked="0"/>
    </xf>
    <xf numFmtId="0" fontId="2" fillId="5" borderId="2" xfId="0" applyFont="1" applyFill="1" applyBorder="1" applyAlignment="1" applyProtection="1">
      <alignment horizontal="left"/>
      <protection locked="0"/>
    </xf>
    <xf numFmtId="166" fontId="0" fillId="14" borderId="19" xfId="2" applyNumberFormat="1" applyFont="1" applyFill="1" applyBorder="1" applyAlignment="1" applyProtection="1">
      <alignment horizontal="center" vertical="center"/>
    </xf>
    <xf numFmtId="166" fontId="0" fillId="14" borderId="20" xfId="2" applyNumberFormat="1" applyFont="1" applyFill="1" applyBorder="1" applyAlignment="1" applyProtection="1">
      <alignment horizontal="center" vertical="center"/>
    </xf>
    <xf numFmtId="0" fontId="3" fillId="29" borderId="25" xfId="0" applyFont="1" applyFill="1" applyBorder="1" applyAlignment="1" applyProtection="1">
      <alignment horizontal="center" vertical="center"/>
      <protection locked="0"/>
    </xf>
    <xf numFmtId="0" fontId="3" fillId="29" borderId="19" xfId="0" applyFont="1" applyFill="1" applyBorder="1" applyAlignment="1" applyProtection="1">
      <alignment horizontal="center" vertical="center"/>
      <protection locked="0"/>
    </xf>
    <xf numFmtId="169" fontId="0" fillId="12" borderId="19" xfId="0" applyNumberFormat="1" applyFill="1" applyBorder="1" applyAlignment="1">
      <alignment horizontal="center" vertical="center"/>
    </xf>
    <xf numFmtId="0" fontId="0" fillId="12" borderId="20" xfId="0" applyFill="1" applyBorder="1" applyAlignment="1">
      <alignment horizontal="center" vertical="center"/>
    </xf>
    <xf numFmtId="169" fontId="8" fillId="29" borderId="25" xfId="1" applyNumberFormat="1" applyFont="1" applyFill="1" applyBorder="1" applyAlignment="1" applyProtection="1">
      <alignment horizontal="left" vertical="center" wrapText="1"/>
      <protection locked="0"/>
    </xf>
    <xf numFmtId="169" fontId="8" fillId="29" borderId="19" xfId="1" applyNumberFormat="1" applyFont="1" applyFill="1" applyBorder="1" applyAlignment="1" applyProtection="1">
      <alignment horizontal="left" vertical="center" wrapText="1"/>
      <protection locked="0"/>
    </xf>
    <xf numFmtId="0" fontId="3" fillId="0" borderId="15" xfId="0" applyFont="1" applyBorder="1" applyAlignment="1" applyProtection="1">
      <alignment horizontal="center" vertical="center" wrapText="1"/>
      <protection locked="0"/>
    </xf>
    <xf numFmtId="0" fontId="3" fillId="0" borderId="26" xfId="0" applyFont="1" applyBorder="1" applyAlignment="1" applyProtection="1">
      <alignment horizontal="center" vertical="center" wrapText="1"/>
      <protection locked="0"/>
    </xf>
    <xf numFmtId="0" fontId="3" fillId="0" borderId="35" xfId="0" applyFont="1" applyBorder="1" applyAlignment="1" applyProtection="1">
      <alignment horizontal="center" vertical="center" wrapText="1"/>
      <protection locked="0"/>
    </xf>
    <xf numFmtId="0" fontId="3" fillId="0" borderId="30" xfId="0" applyFont="1" applyBorder="1" applyAlignment="1" applyProtection="1">
      <alignment horizontal="center" vertical="center" wrapText="1"/>
      <protection locked="0"/>
    </xf>
    <xf numFmtId="0" fontId="28" fillId="14" borderId="10" xfId="0" applyFont="1" applyFill="1" applyBorder="1" applyAlignment="1" applyProtection="1">
      <alignment horizontal="left" vertical="center" wrapText="1"/>
      <protection locked="0"/>
    </xf>
    <xf numFmtId="0" fontId="28" fillId="14" borderId="0" xfId="0" applyFont="1" applyFill="1" applyAlignment="1" applyProtection="1">
      <alignment horizontal="left" vertical="center" wrapText="1"/>
      <protection locked="0"/>
    </xf>
    <xf numFmtId="0" fontId="28" fillId="14" borderId="11" xfId="0" applyFont="1" applyFill="1" applyBorder="1" applyAlignment="1" applyProtection="1">
      <alignment horizontal="left" vertical="center" wrapText="1"/>
      <protection locked="0"/>
    </xf>
    <xf numFmtId="0" fontId="2" fillId="3" borderId="15" xfId="0" applyFont="1" applyFill="1" applyBorder="1" applyAlignment="1" applyProtection="1">
      <alignment horizontal="center" vertical="center" wrapText="1"/>
      <protection locked="0"/>
    </xf>
    <xf numFmtId="0" fontId="2" fillId="3" borderId="70" xfId="0" applyFont="1" applyFill="1" applyBorder="1" applyAlignment="1" applyProtection="1">
      <alignment horizontal="center" vertical="center"/>
      <protection locked="0"/>
    </xf>
    <xf numFmtId="0" fontId="28" fillId="14" borderId="16" xfId="0" applyFont="1" applyFill="1" applyBorder="1" applyAlignment="1" applyProtection="1">
      <alignment horizontal="left" wrapText="1"/>
      <protection locked="0"/>
    </xf>
    <xf numFmtId="0" fontId="28" fillId="14" borderId="7" xfId="0" applyFont="1" applyFill="1" applyBorder="1" applyAlignment="1" applyProtection="1">
      <alignment horizontal="left" wrapText="1"/>
      <protection locked="0"/>
    </xf>
    <xf numFmtId="0" fontId="28" fillId="14" borderId="2" xfId="0" applyFont="1" applyFill="1" applyBorder="1" applyAlignment="1" applyProtection="1">
      <alignment horizontal="left" wrapText="1"/>
      <protection locked="0"/>
    </xf>
    <xf numFmtId="0" fontId="28" fillId="14" borderId="3" xfId="0" applyFont="1" applyFill="1" applyBorder="1" applyAlignment="1" applyProtection="1">
      <alignment horizontal="left" vertical="top" wrapText="1"/>
      <protection locked="0"/>
    </xf>
    <xf numFmtId="0" fontId="28" fillId="14" borderId="8" xfId="0" applyFont="1" applyFill="1" applyBorder="1" applyAlignment="1" applyProtection="1">
      <alignment horizontal="left" vertical="top" wrapText="1"/>
      <protection locked="0"/>
    </xf>
    <xf numFmtId="0" fontId="28" fillId="14" borderId="4" xfId="0" applyFont="1" applyFill="1" applyBorder="1" applyAlignment="1" applyProtection="1">
      <alignment horizontal="left" vertical="top" wrapText="1"/>
      <protection locked="0"/>
    </xf>
    <xf numFmtId="0" fontId="28" fillId="14" borderId="10" xfId="0" applyFont="1" applyFill="1" applyBorder="1" applyAlignment="1" applyProtection="1">
      <alignment horizontal="left" vertical="top" wrapText="1"/>
      <protection locked="0"/>
    </xf>
    <xf numFmtId="0" fontId="28" fillId="14" borderId="0" xfId="0" applyFont="1" applyFill="1" applyAlignment="1" applyProtection="1">
      <alignment horizontal="left" vertical="top" wrapText="1"/>
      <protection locked="0"/>
    </xf>
    <xf numFmtId="0" fontId="28" fillId="14" borderId="11" xfId="0" applyFont="1" applyFill="1" applyBorder="1" applyAlignment="1" applyProtection="1">
      <alignment horizontal="left" vertical="top" wrapText="1"/>
      <protection locked="0"/>
    </xf>
    <xf numFmtId="0" fontId="28" fillId="14" borderId="5" xfId="0" applyFont="1" applyFill="1" applyBorder="1" applyAlignment="1" applyProtection="1">
      <alignment horizontal="left" vertical="top" wrapText="1"/>
      <protection locked="0"/>
    </xf>
    <xf numFmtId="0" fontId="28" fillId="14" borderId="9" xfId="0" applyFont="1" applyFill="1" applyBorder="1" applyAlignment="1" applyProtection="1">
      <alignment horizontal="left" vertical="top" wrapText="1"/>
      <protection locked="0"/>
    </xf>
    <xf numFmtId="0" fontId="28" fillId="14" borderId="6" xfId="0" applyFont="1" applyFill="1" applyBorder="1" applyAlignment="1" applyProtection="1">
      <alignment horizontal="left" vertical="top" wrapText="1"/>
      <protection locked="0"/>
    </xf>
    <xf numFmtId="0" fontId="3" fillId="29" borderId="15" xfId="0" applyFont="1" applyFill="1" applyBorder="1" applyAlignment="1" applyProtection="1">
      <alignment horizontal="center"/>
      <protection locked="0"/>
    </xf>
    <xf numFmtId="169" fontId="0" fillId="14" borderId="15" xfId="0" applyNumberFormat="1" applyFill="1" applyBorder="1" applyAlignment="1">
      <alignment horizontal="center"/>
    </xf>
    <xf numFmtId="0" fontId="0" fillId="14" borderId="15" xfId="0" applyFill="1" applyBorder="1" applyAlignment="1">
      <alignment horizontal="center"/>
    </xf>
    <xf numFmtId="0" fontId="3" fillId="29" borderId="15" xfId="0" applyFont="1" applyFill="1" applyBorder="1" applyAlignment="1" applyProtection="1">
      <alignment horizontal="center" vertical="center"/>
      <protection locked="0"/>
    </xf>
    <xf numFmtId="0" fontId="0" fillId="14" borderId="15" xfId="0" applyFill="1" applyBorder="1" applyAlignment="1">
      <alignment horizontal="center" vertical="center"/>
    </xf>
    <xf numFmtId="169" fontId="6" fillId="14" borderId="37" xfId="1" applyNumberFormat="1" applyFont="1" applyFill="1" applyBorder="1" applyAlignment="1" applyProtection="1">
      <alignment horizontal="center" vertical="center"/>
    </xf>
    <xf numFmtId="169" fontId="6" fillId="14" borderId="50" xfId="1" applyNumberFormat="1" applyFont="1" applyFill="1" applyBorder="1" applyAlignment="1" applyProtection="1">
      <alignment horizontal="center" vertical="center"/>
    </xf>
    <xf numFmtId="0" fontId="3" fillId="0" borderId="28" xfId="0" applyFont="1" applyBorder="1" applyAlignment="1" applyProtection="1">
      <alignment horizontal="center" vertical="center" wrapText="1"/>
      <protection locked="0"/>
    </xf>
    <xf numFmtId="0" fontId="31" fillId="5" borderId="63" xfId="0" applyFont="1" applyFill="1" applyBorder="1" applyAlignment="1" applyProtection="1">
      <alignment horizontal="centerContinuous" vertical="center"/>
      <protection locked="0"/>
    </xf>
    <xf numFmtId="0" fontId="15" fillId="0" borderId="24" xfId="0" applyFont="1" applyBorder="1" applyAlignment="1" applyProtection="1">
      <alignment horizontal="center" vertical="center"/>
      <protection locked="0"/>
    </xf>
    <xf numFmtId="0" fontId="15" fillId="0" borderId="17" xfId="0" applyFont="1" applyBorder="1" applyAlignment="1" applyProtection="1">
      <alignment horizontal="center" vertical="center"/>
      <protection locked="0"/>
    </xf>
    <xf numFmtId="0" fontId="15" fillId="0" borderId="18" xfId="0" applyFont="1" applyBorder="1" applyAlignment="1" applyProtection="1">
      <alignment horizontal="center" vertical="center"/>
      <protection locked="0"/>
    </xf>
  </cellXfs>
  <cellStyles count="7">
    <cellStyle name="Bad" xfId="6" builtinId="27"/>
    <cellStyle name="Comma" xfId="3" builtinId="3"/>
    <cellStyle name="Currency" xfId="1" builtinId="4"/>
    <cellStyle name="Good" xfId="5" builtinId="26"/>
    <cellStyle name="Hyperlink" xfId="4" builtinId="8"/>
    <cellStyle name="Normal" xfId="0" builtinId="0"/>
    <cellStyle name="Percent" xfId="2" builtinId="5"/>
  </cellStyles>
  <dxfs count="58">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FF0000"/>
      </font>
      <fill>
        <patternFill patternType="none">
          <bgColor auto="1"/>
        </patternFill>
      </fill>
    </dxf>
    <dxf>
      <numFmt numFmtId="32" formatCode="_(&quot;$&quot;* #,##0_);_(&quot;$&quot;* \(#,##0\);_(&quot;$&quot;* &quot;-&quot;_);_(@_)"/>
    </dxf>
    <dxf>
      <numFmt numFmtId="13" formatCode="0%"/>
    </dxf>
    <dxf>
      <fill>
        <patternFill>
          <bgColor rgb="FFFFFF00"/>
        </patternFill>
      </fill>
    </dxf>
    <dxf>
      <fill>
        <patternFill>
          <bgColor rgb="FFFFFF00"/>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C00000"/>
      </font>
      <fill>
        <patternFill>
          <bgColor rgb="FFFFB7B7"/>
        </patternFill>
      </fill>
    </dxf>
    <dxf>
      <font>
        <color rgb="FF006100"/>
      </font>
      <fill>
        <patternFill>
          <bgColor rgb="FFC6EFCE"/>
        </patternFill>
      </fill>
    </dxf>
    <dxf>
      <font>
        <color rgb="FFC00000"/>
      </font>
      <fill>
        <patternFill>
          <bgColor rgb="FFFFB7B7"/>
        </patternFill>
      </fill>
    </dxf>
    <dxf>
      <numFmt numFmtId="173" formatCode="0&quot;%&quot;"/>
    </dxf>
    <dxf>
      <numFmt numFmtId="173" formatCode="0&quot;%&quot;"/>
    </dxf>
    <dxf>
      <numFmt numFmtId="169" formatCode="&quot;$&quot;#,##0"/>
    </dxf>
    <dxf>
      <fill>
        <patternFill>
          <bgColor rgb="FFFFFF00"/>
        </patternFill>
      </fill>
    </dxf>
    <dxf>
      <fill>
        <patternFill>
          <bgColor rgb="FFFFFF00"/>
        </patternFill>
      </fill>
    </dxf>
    <dxf>
      <fill>
        <patternFill>
          <bgColor rgb="FFFFFF00"/>
        </patternFill>
      </fill>
    </dxf>
    <dxf>
      <fill>
        <patternFill>
          <bgColor rgb="FFFFFF00"/>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FF00"/>
        </patternFill>
      </fill>
    </dxf>
    <dxf>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00"/>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000000"/>
      <color rgb="FFFFB7B7"/>
      <color rgb="FFFF9B9B"/>
      <color rgb="FF7030A0"/>
      <color rgb="FFCDACE6"/>
      <color rgb="FFA66BD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3.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ysClr val="windowText" lastClr="000000"/>
                </a:solidFill>
              </a:rPr>
              <a:t>Compensation Strategy Cost Comparison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stacked"/>
        <c:varyColors val="0"/>
        <c:ser>
          <c:idx val="0"/>
          <c:order val="0"/>
          <c:tx>
            <c:v>Starting Salary</c:v>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 Tables'!$C$3:$D$3</c:f>
              <c:strCache>
                <c:ptCount val="2"/>
                <c:pt idx="0">
                  <c:v>Current</c:v>
                </c:pt>
                <c:pt idx="1">
                  <c:v>New</c:v>
                </c:pt>
              </c:strCache>
            </c:strRef>
          </c:cat>
          <c:val>
            <c:numRef>
              <c:f>'Chart Tables'!$C$4:$D$4</c:f>
              <c:numCache>
                <c:formatCode>_("$"* #,##0_);_("$"* \(#,##0\);_("$"* "-"??_);_(@_)</c:formatCode>
                <c:ptCount val="2"/>
                <c:pt idx="0">
                  <c:v>0</c:v>
                </c:pt>
                <c:pt idx="1">
                  <c:v>0</c:v>
                </c:pt>
              </c:numCache>
            </c:numRef>
          </c:val>
          <c:extLst>
            <c:ext xmlns:c16="http://schemas.microsoft.com/office/drawing/2014/chart" uri="{C3380CC4-5D6E-409C-BE32-E72D297353CC}">
              <c16:uniqueId val="{00000002-6C05-47DC-8193-87DF798728DC}"/>
            </c:ext>
          </c:extLst>
        </c:ser>
        <c:ser>
          <c:idx val="1"/>
          <c:order val="1"/>
          <c:tx>
            <c:v>Experience</c:v>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 Tables'!$C$3:$D$3</c:f>
              <c:strCache>
                <c:ptCount val="2"/>
                <c:pt idx="0">
                  <c:v>Current</c:v>
                </c:pt>
                <c:pt idx="1">
                  <c:v>New</c:v>
                </c:pt>
              </c:strCache>
            </c:strRef>
          </c:cat>
          <c:val>
            <c:numRef>
              <c:f>'Chart Tables'!$C$5:$D$5</c:f>
              <c:numCache>
                <c:formatCode>_("$"* #,##0_);_("$"* \(#,##0\);_("$"* "-"??_);_(@_)</c:formatCode>
                <c:ptCount val="2"/>
                <c:pt idx="0">
                  <c:v>0</c:v>
                </c:pt>
                <c:pt idx="1">
                  <c:v>0</c:v>
                </c:pt>
              </c:numCache>
            </c:numRef>
          </c:val>
          <c:extLst>
            <c:ext xmlns:c16="http://schemas.microsoft.com/office/drawing/2014/chart" uri="{C3380CC4-5D6E-409C-BE32-E72D297353CC}">
              <c16:uniqueId val="{00000005-6C05-47DC-8193-87DF798728DC}"/>
            </c:ext>
          </c:extLst>
        </c:ser>
        <c:ser>
          <c:idx val="2"/>
          <c:order val="2"/>
          <c:tx>
            <c:v>Roles</c:v>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 Tables'!$C$3:$D$3</c:f>
              <c:strCache>
                <c:ptCount val="2"/>
                <c:pt idx="0">
                  <c:v>Current</c:v>
                </c:pt>
                <c:pt idx="1">
                  <c:v>New</c:v>
                </c:pt>
              </c:strCache>
            </c:strRef>
          </c:cat>
          <c:val>
            <c:numRef>
              <c:f>'Chart Tables'!$C$7:$D$7</c:f>
              <c:numCache>
                <c:formatCode>_("$"* #,##0_);_("$"* \(#,##0\);_("$"* "-"??_);_(@_)</c:formatCode>
                <c:ptCount val="2"/>
                <c:pt idx="0">
                  <c:v>0</c:v>
                </c:pt>
                <c:pt idx="1">
                  <c:v>0</c:v>
                </c:pt>
              </c:numCache>
            </c:numRef>
          </c:val>
          <c:extLst>
            <c:ext xmlns:c16="http://schemas.microsoft.com/office/drawing/2014/chart" uri="{C3380CC4-5D6E-409C-BE32-E72D297353CC}">
              <c16:uniqueId val="{00000006-6C05-47DC-8193-87DF798728DC}"/>
            </c:ext>
          </c:extLst>
        </c:ser>
        <c:ser>
          <c:idx val="3"/>
          <c:order val="3"/>
          <c:tx>
            <c:v>Critical Need Areas</c:v>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 Tables'!$C$3:$D$3</c:f>
              <c:strCache>
                <c:ptCount val="2"/>
                <c:pt idx="0">
                  <c:v>Current</c:v>
                </c:pt>
                <c:pt idx="1">
                  <c:v>New</c:v>
                </c:pt>
              </c:strCache>
            </c:strRef>
          </c:cat>
          <c:val>
            <c:numRef>
              <c:f>'Chart Tables'!$C$8:$D$8</c:f>
              <c:numCache>
                <c:formatCode>_("$"* #,##0_);_("$"* \(#,##0\);_("$"* "-"??_);_(@_)</c:formatCode>
                <c:ptCount val="2"/>
                <c:pt idx="0">
                  <c:v>0</c:v>
                </c:pt>
                <c:pt idx="1">
                  <c:v>0</c:v>
                </c:pt>
              </c:numCache>
            </c:numRef>
          </c:val>
          <c:extLst>
            <c:ext xmlns:c16="http://schemas.microsoft.com/office/drawing/2014/chart" uri="{C3380CC4-5D6E-409C-BE32-E72D297353CC}">
              <c16:uniqueId val="{00000007-6C05-47DC-8193-87DF798728DC}"/>
            </c:ext>
          </c:extLst>
        </c:ser>
        <c:ser>
          <c:idx val="4"/>
          <c:order val="4"/>
          <c:tx>
            <c:v>Effectiveness</c:v>
          </c:tx>
          <c:spPr>
            <a:solidFill>
              <a:srgbClr val="7030A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 Tables'!$C$3:$D$3</c:f>
              <c:strCache>
                <c:ptCount val="2"/>
                <c:pt idx="0">
                  <c:v>Current</c:v>
                </c:pt>
                <c:pt idx="1">
                  <c:v>New</c:v>
                </c:pt>
              </c:strCache>
            </c:strRef>
          </c:cat>
          <c:val>
            <c:numRef>
              <c:f>'Chart Tables'!$C$9:$D$9</c:f>
              <c:numCache>
                <c:formatCode>_("$"* #,##0_);_("$"* \(#,##0\);_("$"* "-"??_);_(@_)</c:formatCode>
                <c:ptCount val="2"/>
                <c:pt idx="0">
                  <c:v>0</c:v>
                </c:pt>
                <c:pt idx="1">
                  <c:v>0</c:v>
                </c:pt>
              </c:numCache>
            </c:numRef>
          </c:val>
          <c:extLst>
            <c:ext xmlns:c16="http://schemas.microsoft.com/office/drawing/2014/chart" uri="{C3380CC4-5D6E-409C-BE32-E72D297353CC}">
              <c16:uniqueId val="{0000000A-6C05-47DC-8193-87DF798728DC}"/>
            </c:ext>
          </c:extLst>
        </c:ser>
        <c:ser>
          <c:idx val="5"/>
          <c:order val="5"/>
          <c:tx>
            <c:v>Education</c:v>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 Tables'!$C$3:$D$3</c:f>
              <c:strCache>
                <c:ptCount val="2"/>
                <c:pt idx="0">
                  <c:v>Current</c:v>
                </c:pt>
                <c:pt idx="1">
                  <c:v>New</c:v>
                </c:pt>
              </c:strCache>
            </c:strRef>
          </c:cat>
          <c:val>
            <c:numRef>
              <c:f>'Chart Tables'!$C$6:$D$6</c:f>
              <c:numCache>
                <c:formatCode>_("$"* #,##0_);_("$"* \(#,##0\);_("$"* "-"??_);_(@_)</c:formatCode>
                <c:ptCount val="2"/>
                <c:pt idx="0">
                  <c:v>0</c:v>
                </c:pt>
                <c:pt idx="1">
                  <c:v>0</c:v>
                </c:pt>
              </c:numCache>
            </c:numRef>
          </c:val>
          <c:extLst>
            <c:ext xmlns:c16="http://schemas.microsoft.com/office/drawing/2014/chart" uri="{C3380CC4-5D6E-409C-BE32-E72D297353CC}">
              <c16:uniqueId val="{0000000D-6C05-47DC-8193-87DF798728DC}"/>
            </c:ext>
          </c:extLst>
        </c:ser>
        <c:ser>
          <c:idx val="7"/>
          <c:order val="7"/>
          <c:tx>
            <c:v>Benefits</c:v>
          </c:tx>
          <c:spPr>
            <a:solidFill>
              <a:schemeClr val="accent2">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 Tables'!$C$3:$D$3</c:f>
              <c:strCache>
                <c:ptCount val="2"/>
                <c:pt idx="0">
                  <c:v>Current</c:v>
                </c:pt>
                <c:pt idx="1">
                  <c:v>New</c:v>
                </c:pt>
              </c:strCache>
            </c:strRef>
          </c:cat>
          <c:val>
            <c:numRef>
              <c:f>'Chart Tables'!$C$10:$D$10</c:f>
              <c:numCache>
                <c:formatCode>_("$"* #,##0_);_("$"* \(#,##0\);_("$"* "-"??_);_(@_)</c:formatCode>
                <c:ptCount val="2"/>
                <c:pt idx="0">
                  <c:v>0</c:v>
                </c:pt>
                <c:pt idx="1">
                  <c:v>0</c:v>
                </c:pt>
              </c:numCache>
            </c:numRef>
          </c:val>
          <c:extLst>
            <c:ext xmlns:c16="http://schemas.microsoft.com/office/drawing/2014/chart" uri="{C3380CC4-5D6E-409C-BE32-E72D297353CC}">
              <c16:uniqueId val="{00000010-6C05-47DC-8193-87DF798728DC}"/>
            </c:ext>
          </c:extLst>
        </c:ser>
        <c:dLbls>
          <c:showLegendKey val="0"/>
          <c:showVal val="1"/>
          <c:showCatName val="0"/>
          <c:showSerName val="0"/>
          <c:showPercent val="0"/>
          <c:showBubbleSize val="0"/>
        </c:dLbls>
        <c:gapWidth val="150"/>
        <c:overlap val="100"/>
        <c:axId val="1659166320"/>
        <c:axId val="1659164656"/>
      </c:barChart>
      <c:lineChart>
        <c:grouping val="standard"/>
        <c:varyColors val="0"/>
        <c:ser>
          <c:idx val="6"/>
          <c:order val="6"/>
          <c:tx>
            <c:v>TOTAL COST</c:v>
          </c:tx>
          <c:spPr>
            <a:ln w="25400" cap="rnd">
              <a:noFill/>
              <a:round/>
            </a:ln>
            <a:effectLst/>
          </c:spPr>
          <c:marker>
            <c:symbol val="none"/>
          </c:marker>
          <c:dLbls>
            <c:delete val="1"/>
          </c:dLbls>
          <c:val>
            <c:numRef>
              <c:f>'Chart Tables'!$C$11:$D$11</c:f>
              <c:numCache>
                <c:formatCode>_("$"* #,##0_);_("$"* \(#,##0\);_("$"* "-"??_);_(@_)</c:formatCode>
                <c:ptCount val="2"/>
                <c:pt idx="0">
                  <c:v>0</c:v>
                </c:pt>
                <c:pt idx="1">
                  <c:v>0</c:v>
                </c:pt>
              </c:numCache>
            </c:numRef>
          </c:val>
          <c:smooth val="0"/>
          <c:extLst>
            <c:ext xmlns:c16="http://schemas.microsoft.com/office/drawing/2014/chart" uri="{C3380CC4-5D6E-409C-BE32-E72D297353CC}">
              <c16:uniqueId val="{00000011-6C05-47DC-8193-87DF798728DC}"/>
            </c:ext>
          </c:extLst>
        </c:ser>
        <c:dLbls>
          <c:showLegendKey val="0"/>
          <c:showVal val="1"/>
          <c:showCatName val="0"/>
          <c:showSerName val="0"/>
          <c:showPercent val="0"/>
          <c:showBubbleSize val="0"/>
        </c:dLbls>
        <c:marker val="1"/>
        <c:smooth val="0"/>
        <c:axId val="1791204464"/>
        <c:axId val="1791215280"/>
      </c:lineChart>
      <c:catAx>
        <c:axId val="165916632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59164656"/>
        <c:crosses val="autoZero"/>
        <c:auto val="1"/>
        <c:lblAlgn val="ctr"/>
        <c:lblOffset val="100"/>
        <c:noMultiLvlLbl val="0"/>
      </c:catAx>
      <c:valAx>
        <c:axId val="1659164656"/>
        <c:scaling>
          <c:orientation val="minMax"/>
        </c:scaling>
        <c:delete val="0"/>
        <c:axPos val="t"/>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59166320"/>
        <c:crosses val="autoZero"/>
        <c:crossBetween val="between"/>
        <c:dispUnits>
          <c:builtInUnit val="millions"/>
          <c:dispUnitsLbl>
            <c:layout>
              <c:manualLayout>
                <c:xMode val="edge"/>
                <c:yMode val="edge"/>
                <c:x val="3.6326188393117527E-2"/>
                <c:y val="0.14155066835391486"/>
              </c:manualLayout>
            </c:layout>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valAx>
        <c:axId val="1791215280"/>
        <c:scaling>
          <c:orientation val="minMax"/>
        </c:scaling>
        <c:delete val="1"/>
        <c:axPos val="r"/>
        <c:numFmt formatCode="_(&quot;$&quot;* #,##0_);_(&quot;$&quot;* \(#,##0\);_(&quot;$&quot;* &quot;-&quot;??_);_(@_)" sourceLinked="1"/>
        <c:majorTickMark val="out"/>
        <c:minorTickMark val="none"/>
        <c:tickLblPos val="nextTo"/>
        <c:crossAx val="1791204464"/>
        <c:crosses val="max"/>
        <c:crossBetween val="between"/>
      </c:valAx>
      <c:catAx>
        <c:axId val="1791204464"/>
        <c:scaling>
          <c:orientation val="minMax"/>
        </c:scaling>
        <c:delete val="1"/>
        <c:axPos val="b"/>
        <c:majorTickMark val="out"/>
        <c:minorTickMark val="none"/>
        <c:tickLblPos val="nextTo"/>
        <c:crossAx val="1791215280"/>
        <c:crosses val="autoZero"/>
        <c:auto val="1"/>
        <c:lblAlgn val="ctr"/>
        <c:lblOffset val="100"/>
        <c:noMultiLvlLbl val="0"/>
      </c:catAx>
      <c:spPr>
        <a:noFill/>
        <a:ln>
          <a:noFill/>
        </a:ln>
        <a:effectLst/>
      </c:spPr>
    </c:plotArea>
    <c:legend>
      <c:legendPos val="b"/>
      <c:legendEntry>
        <c:idx val="7"/>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ysClr val="windowText" lastClr="000000"/>
                </a:solidFill>
              </a:rPr>
              <a:t>Average Assistant</a:t>
            </a:r>
            <a:r>
              <a:rPr lang="en-US" b="1" baseline="0">
                <a:solidFill>
                  <a:sysClr val="windowText" lastClr="000000"/>
                </a:solidFill>
              </a:rPr>
              <a:t> Principal Compensation by Effectiveness Designation</a:t>
            </a:r>
            <a:endParaRPr lang="en-US" b="1">
              <a:solidFill>
                <a:sysClr val="windowText" lastClr="000000"/>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'Chart Tables'!$N$22</c:f>
              <c:strCache>
                <c:ptCount val="1"/>
                <c:pt idx="0">
                  <c:v>Current</c:v>
                </c:pt>
              </c:strCache>
            </c:strRef>
          </c:tx>
          <c:spPr>
            <a:solidFill>
              <a:schemeClr val="accent1"/>
            </a:solidFill>
            <a:ln>
              <a:noFill/>
            </a:ln>
            <a:effectLst/>
          </c:spPr>
          <c:invertIfNegative val="0"/>
          <c:cat>
            <c:numRef>
              <c:f>'Chart Tables'!$K$23:$K$32</c:f>
              <c:numCache>
                <c:formatCode>General</c:formatCode>
                <c:ptCount val="10"/>
                <c:pt idx="0">
                  <c:v>0</c:v>
                </c:pt>
                <c:pt idx="1">
                  <c:v>0</c:v>
                </c:pt>
                <c:pt idx="2">
                  <c:v>0</c:v>
                </c:pt>
                <c:pt idx="3">
                  <c:v>0</c:v>
                </c:pt>
                <c:pt idx="4">
                  <c:v>0</c:v>
                </c:pt>
                <c:pt idx="5">
                  <c:v>0</c:v>
                </c:pt>
                <c:pt idx="6">
                  <c:v>0</c:v>
                </c:pt>
                <c:pt idx="7">
                  <c:v>0</c:v>
                </c:pt>
                <c:pt idx="8">
                  <c:v>0</c:v>
                </c:pt>
                <c:pt idx="9">
                  <c:v>0</c:v>
                </c:pt>
              </c:numCache>
            </c:numRef>
          </c:cat>
          <c:val>
            <c:numRef>
              <c:f>'Chart Tables'!$R$23:$R$32</c:f>
              <c:numCache>
                <c:formatCode>"$"#,##0</c:formatCode>
                <c:ptCount val="10"/>
                <c:pt idx="0">
                  <c:v>#N/A</c:v>
                </c:pt>
                <c:pt idx="1">
                  <c:v>#N/A</c:v>
                </c:pt>
                <c:pt idx="2">
                  <c:v>#N/A</c:v>
                </c:pt>
                <c:pt idx="3">
                  <c:v>#N/A</c:v>
                </c:pt>
                <c:pt idx="4">
                  <c:v>#N/A</c:v>
                </c:pt>
                <c:pt idx="5">
                  <c:v>#N/A</c:v>
                </c:pt>
                <c:pt idx="6">
                  <c:v>#N/A</c:v>
                </c:pt>
                <c:pt idx="7">
                  <c:v>#N/A</c:v>
                </c:pt>
                <c:pt idx="8">
                  <c:v>#N/A</c:v>
                </c:pt>
                <c:pt idx="9">
                  <c:v>#N/A</c:v>
                </c:pt>
              </c:numCache>
            </c:numRef>
          </c:val>
          <c:extLst>
            <c:ext xmlns:c16="http://schemas.microsoft.com/office/drawing/2014/chart" uri="{C3380CC4-5D6E-409C-BE32-E72D297353CC}">
              <c16:uniqueId val="{00000000-6AD2-40D6-AC4E-88318AE28B6E}"/>
            </c:ext>
          </c:extLst>
        </c:ser>
        <c:ser>
          <c:idx val="1"/>
          <c:order val="1"/>
          <c:tx>
            <c:strRef>
              <c:f>'Chart Tables'!$O$22</c:f>
              <c:strCache>
                <c:ptCount val="1"/>
                <c:pt idx="0">
                  <c:v>New</c:v>
                </c:pt>
              </c:strCache>
            </c:strRef>
          </c:tx>
          <c:spPr>
            <a:solidFill>
              <a:schemeClr val="accent2"/>
            </a:solidFill>
            <a:ln>
              <a:noFill/>
            </a:ln>
            <a:effectLst/>
          </c:spPr>
          <c:invertIfNegative val="0"/>
          <c:cat>
            <c:numRef>
              <c:f>'Chart Tables'!$K$23:$K$32</c:f>
              <c:numCache>
                <c:formatCode>General</c:formatCode>
                <c:ptCount val="10"/>
                <c:pt idx="0">
                  <c:v>0</c:v>
                </c:pt>
                <c:pt idx="1">
                  <c:v>0</c:v>
                </c:pt>
                <c:pt idx="2">
                  <c:v>0</c:v>
                </c:pt>
                <c:pt idx="3">
                  <c:v>0</c:v>
                </c:pt>
                <c:pt idx="4">
                  <c:v>0</c:v>
                </c:pt>
                <c:pt idx="5">
                  <c:v>0</c:v>
                </c:pt>
                <c:pt idx="6">
                  <c:v>0</c:v>
                </c:pt>
                <c:pt idx="7">
                  <c:v>0</c:v>
                </c:pt>
                <c:pt idx="8">
                  <c:v>0</c:v>
                </c:pt>
                <c:pt idx="9">
                  <c:v>0</c:v>
                </c:pt>
              </c:numCache>
            </c:numRef>
          </c:cat>
          <c:val>
            <c:numRef>
              <c:f>'Chart Tables'!$S$23:$S$32</c:f>
              <c:numCache>
                <c:formatCode>"$"#,##0</c:formatCode>
                <c:ptCount val="10"/>
                <c:pt idx="0">
                  <c:v>#N/A</c:v>
                </c:pt>
                <c:pt idx="1">
                  <c:v>#N/A</c:v>
                </c:pt>
                <c:pt idx="2">
                  <c:v>#N/A</c:v>
                </c:pt>
                <c:pt idx="3">
                  <c:v>#N/A</c:v>
                </c:pt>
                <c:pt idx="4">
                  <c:v>#N/A</c:v>
                </c:pt>
                <c:pt idx="5">
                  <c:v>#N/A</c:v>
                </c:pt>
                <c:pt idx="6">
                  <c:v>#N/A</c:v>
                </c:pt>
                <c:pt idx="7">
                  <c:v>#N/A</c:v>
                </c:pt>
                <c:pt idx="8">
                  <c:v>#N/A</c:v>
                </c:pt>
                <c:pt idx="9">
                  <c:v>#N/A</c:v>
                </c:pt>
              </c:numCache>
            </c:numRef>
          </c:val>
          <c:extLst>
            <c:ext xmlns:c16="http://schemas.microsoft.com/office/drawing/2014/chart" uri="{C3380CC4-5D6E-409C-BE32-E72D297353CC}">
              <c16:uniqueId val="{00000001-6AD2-40D6-AC4E-88318AE28B6E}"/>
            </c:ext>
          </c:extLst>
        </c:ser>
        <c:dLbls>
          <c:showLegendKey val="0"/>
          <c:showVal val="0"/>
          <c:showCatName val="0"/>
          <c:showSerName val="0"/>
          <c:showPercent val="0"/>
          <c:showBubbleSize val="0"/>
        </c:dLbls>
        <c:gapWidth val="219"/>
        <c:overlap val="-27"/>
        <c:axId val="2709215"/>
        <c:axId val="2704415"/>
      </c:barChart>
      <c:catAx>
        <c:axId val="2709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04415"/>
        <c:crosses val="autoZero"/>
        <c:auto val="1"/>
        <c:lblAlgn val="ctr"/>
        <c:lblOffset val="100"/>
        <c:noMultiLvlLbl val="0"/>
      </c:catAx>
      <c:valAx>
        <c:axId val="2704415"/>
        <c:scaling>
          <c:orientation val="minMax"/>
        </c:scaling>
        <c:delete val="0"/>
        <c:axPos val="l"/>
        <c:numFmt formatCode="&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0921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ysClr val="windowText" lastClr="000000"/>
                </a:solidFill>
              </a:rPr>
              <a:t>Compensation Strategy Cost Comparison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stacked"/>
        <c:varyColors val="0"/>
        <c:ser>
          <c:idx val="0"/>
          <c:order val="0"/>
          <c:tx>
            <c:v>Base Salary</c:v>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 Tables'!$L$3:$M$3</c:f>
              <c:strCache>
                <c:ptCount val="2"/>
                <c:pt idx="0">
                  <c:v>Current</c:v>
                </c:pt>
                <c:pt idx="1">
                  <c:v>New</c:v>
                </c:pt>
              </c:strCache>
            </c:strRef>
          </c:cat>
          <c:val>
            <c:numRef>
              <c:f>'Chart Tables'!$L$4:$M$4</c:f>
              <c:numCache>
                <c:formatCode>_("$"* #,##0_);_("$"* \(#,##0\);_("$"* "-"??_);_(@_)</c:formatCode>
                <c:ptCount val="2"/>
                <c:pt idx="0">
                  <c:v>0</c:v>
                </c:pt>
                <c:pt idx="1">
                  <c:v>0</c:v>
                </c:pt>
              </c:numCache>
            </c:numRef>
          </c:val>
          <c:extLst>
            <c:ext xmlns:c16="http://schemas.microsoft.com/office/drawing/2014/chart" uri="{C3380CC4-5D6E-409C-BE32-E72D297353CC}">
              <c16:uniqueId val="{00000000-0DCA-4401-AE34-F83C7783B2F8}"/>
            </c:ext>
          </c:extLst>
        </c:ser>
        <c:ser>
          <c:idx val="3"/>
          <c:order val="1"/>
          <c:tx>
            <c:v>Critical Need Areas</c:v>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 Tables'!$L$3:$M$3</c:f>
              <c:strCache>
                <c:ptCount val="2"/>
                <c:pt idx="0">
                  <c:v>Current</c:v>
                </c:pt>
                <c:pt idx="1">
                  <c:v>New</c:v>
                </c:pt>
              </c:strCache>
            </c:strRef>
          </c:cat>
          <c:val>
            <c:numRef>
              <c:f>'Chart Tables'!$L$5:$M$5</c:f>
              <c:numCache>
                <c:formatCode>_("$"* #,##0_);_("$"* \(#,##0\);_("$"* "-"??_);_(@_)</c:formatCode>
                <c:ptCount val="2"/>
                <c:pt idx="0">
                  <c:v>0</c:v>
                </c:pt>
                <c:pt idx="1">
                  <c:v>0</c:v>
                </c:pt>
              </c:numCache>
            </c:numRef>
          </c:val>
          <c:extLst>
            <c:ext xmlns:c16="http://schemas.microsoft.com/office/drawing/2014/chart" uri="{C3380CC4-5D6E-409C-BE32-E72D297353CC}">
              <c16:uniqueId val="{00000001-0DCA-4401-AE34-F83C7783B2F8}"/>
            </c:ext>
          </c:extLst>
        </c:ser>
        <c:ser>
          <c:idx val="4"/>
          <c:order val="2"/>
          <c:tx>
            <c:v>Effectiveness</c:v>
          </c:tx>
          <c:spPr>
            <a:solidFill>
              <a:srgbClr val="7030A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 Tables'!$L$3:$M$3</c:f>
              <c:strCache>
                <c:ptCount val="2"/>
                <c:pt idx="0">
                  <c:v>Current</c:v>
                </c:pt>
                <c:pt idx="1">
                  <c:v>New</c:v>
                </c:pt>
              </c:strCache>
            </c:strRef>
          </c:cat>
          <c:val>
            <c:numRef>
              <c:f>'Chart Tables'!$L$6:$M$6</c:f>
              <c:numCache>
                <c:formatCode>_("$"* #,##0_);_("$"* \(#,##0\);_("$"* "-"??_);_(@_)</c:formatCode>
                <c:ptCount val="2"/>
                <c:pt idx="0">
                  <c:v>0</c:v>
                </c:pt>
                <c:pt idx="1">
                  <c:v>0</c:v>
                </c:pt>
              </c:numCache>
            </c:numRef>
          </c:val>
          <c:extLst>
            <c:ext xmlns:c16="http://schemas.microsoft.com/office/drawing/2014/chart" uri="{C3380CC4-5D6E-409C-BE32-E72D297353CC}">
              <c16:uniqueId val="{00000002-0DCA-4401-AE34-F83C7783B2F8}"/>
            </c:ext>
          </c:extLst>
        </c:ser>
        <c:ser>
          <c:idx val="7"/>
          <c:order val="4"/>
          <c:tx>
            <c:v>Benefits</c:v>
          </c:tx>
          <c:spPr>
            <a:solidFill>
              <a:schemeClr val="accent2">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 Tables'!$L$3:$M$3</c:f>
              <c:strCache>
                <c:ptCount val="2"/>
                <c:pt idx="0">
                  <c:v>Current</c:v>
                </c:pt>
                <c:pt idx="1">
                  <c:v>New</c:v>
                </c:pt>
              </c:strCache>
            </c:strRef>
          </c:cat>
          <c:val>
            <c:numRef>
              <c:f>'Chart Tables'!$L$7:$M$7</c:f>
              <c:numCache>
                <c:formatCode>_("$"* #,##0_);_("$"* \(#,##0\);_("$"* "-"??_);_(@_)</c:formatCode>
                <c:ptCount val="2"/>
                <c:pt idx="0">
                  <c:v>0</c:v>
                </c:pt>
                <c:pt idx="1">
                  <c:v>0</c:v>
                </c:pt>
              </c:numCache>
            </c:numRef>
          </c:val>
          <c:extLst>
            <c:ext xmlns:c16="http://schemas.microsoft.com/office/drawing/2014/chart" uri="{C3380CC4-5D6E-409C-BE32-E72D297353CC}">
              <c16:uniqueId val="{00000003-0DCA-4401-AE34-F83C7783B2F8}"/>
            </c:ext>
          </c:extLst>
        </c:ser>
        <c:dLbls>
          <c:showLegendKey val="0"/>
          <c:showVal val="1"/>
          <c:showCatName val="0"/>
          <c:showSerName val="0"/>
          <c:showPercent val="0"/>
          <c:showBubbleSize val="0"/>
        </c:dLbls>
        <c:gapWidth val="150"/>
        <c:overlap val="100"/>
        <c:axId val="1659166320"/>
        <c:axId val="1659164656"/>
      </c:barChart>
      <c:lineChart>
        <c:grouping val="standard"/>
        <c:varyColors val="0"/>
        <c:ser>
          <c:idx val="6"/>
          <c:order val="3"/>
          <c:tx>
            <c:v>TOTAL COST</c:v>
          </c:tx>
          <c:spPr>
            <a:ln w="25400" cap="rnd">
              <a:noFill/>
              <a:round/>
            </a:ln>
            <a:effectLst/>
          </c:spPr>
          <c:marker>
            <c:symbol val="none"/>
          </c:marker>
          <c:dLbls>
            <c:delete val="1"/>
          </c:dLbls>
          <c:val>
            <c:numRef>
              <c:f>'Chart Tables'!$L$8:$M$8</c:f>
              <c:numCache>
                <c:formatCode>_("$"* #,##0_);_("$"* \(#,##0\);_("$"* "-"??_);_(@_)</c:formatCode>
                <c:ptCount val="2"/>
                <c:pt idx="0">
                  <c:v>0</c:v>
                </c:pt>
                <c:pt idx="1">
                  <c:v>0</c:v>
                </c:pt>
              </c:numCache>
            </c:numRef>
          </c:val>
          <c:smooth val="0"/>
          <c:extLst>
            <c:ext xmlns:c16="http://schemas.microsoft.com/office/drawing/2014/chart" uri="{C3380CC4-5D6E-409C-BE32-E72D297353CC}">
              <c16:uniqueId val="{00000004-0DCA-4401-AE34-F83C7783B2F8}"/>
            </c:ext>
          </c:extLst>
        </c:ser>
        <c:dLbls>
          <c:showLegendKey val="0"/>
          <c:showVal val="1"/>
          <c:showCatName val="0"/>
          <c:showSerName val="0"/>
          <c:showPercent val="0"/>
          <c:showBubbleSize val="0"/>
        </c:dLbls>
        <c:marker val="1"/>
        <c:smooth val="0"/>
        <c:axId val="1791204464"/>
        <c:axId val="1791215280"/>
      </c:lineChart>
      <c:catAx>
        <c:axId val="165916632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59164656"/>
        <c:crosses val="autoZero"/>
        <c:auto val="1"/>
        <c:lblAlgn val="ctr"/>
        <c:lblOffset val="100"/>
        <c:noMultiLvlLbl val="0"/>
      </c:catAx>
      <c:valAx>
        <c:axId val="1659164656"/>
        <c:scaling>
          <c:orientation val="minMax"/>
          <c:min val="0"/>
        </c:scaling>
        <c:delete val="0"/>
        <c:axPos val="t"/>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59166320"/>
        <c:crosses val="autoZero"/>
        <c:crossBetween val="between"/>
        <c:dispUnits>
          <c:builtInUnit val="millions"/>
          <c:dispUnitsLbl>
            <c:layout>
              <c:manualLayout>
                <c:xMode val="edge"/>
                <c:yMode val="edge"/>
                <c:x val="4.0773591128334091E-2"/>
                <c:y val="0.12113199854874754"/>
              </c:manualLayout>
            </c:layout>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valAx>
        <c:axId val="1791215280"/>
        <c:scaling>
          <c:orientation val="minMax"/>
        </c:scaling>
        <c:delete val="1"/>
        <c:axPos val="r"/>
        <c:numFmt formatCode="_(&quot;$&quot;* #,##0_);_(&quot;$&quot;* \(#,##0\);_(&quot;$&quot;* &quot;-&quot;??_);_(@_)" sourceLinked="1"/>
        <c:majorTickMark val="out"/>
        <c:minorTickMark val="none"/>
        <c:tickLblPos val="nextTo"/>
        <c:crossAx val="1791204464"/>
        <c:crosses val="max"/>
        <c:crossBetween val="between"/>
      </c:valAx>
      <c:catAx>
        <c:axId val="1791204464"/>
        <c:scaling>
          <c:orientation val="minMax"/>
        </c:scaling>
        <c:delete val="1"/>
        <c:axPos val="b"/>
        <c:majorTickMark val="out"/>
        <c:minorTickMark val="none"/>
        <c:tickLblPos val="nextTo"/>
        <c:crossAx val="1791215280"/>
        <c:crosses val="autoZero"/>
        <c:auto val="1"/>
        <c:lblAlgn val="ctr"/>
        <c:lblOffset val="100"/>
        <c:noMultiLvlLbl val="0"/>
      </c:catAx>
      <c:spPr>
        <a:noFill/>
        <a:ln>
          <a:noFill/>
        </a:ln>
        <a:effectLst/>
      </c:spPr>
    </c:plotArea>
    <c:legend>
      <c:legendPos val="b"/>
      <c:legendEntry>
        <c:idx val="4"/>
        <c:delete val="1"/>
      </c:legendEntry>
      <c:layout>
        <c:manualLayout>
          <c:xMode val="edge"/>
          <c:yMode val="edge"/>
          <c:x val="0.16368678915135609"/>
          <c:y val="0.82271037673013936"/>
          <c:w val="0.83631320732795722"/>
          <c:h val="0.1590641121835051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ysClr val="windowText" lastClr="000000"/>
                </a:solidFill>
              </a:rPr>
              <a:t>Teacher</a:t>
            </a:r>
            <a:r>
              <a:rPr lang="en-US" b="1" baseline="0">
                <a:solidFill>
                  <a:sysClr val="windowText" lastClr="000000"/>
                </a:solidFill>
              </a:rPr>
              <a:t> </a:t>
            </a:r>
            <a:r>
              <a:rPr lang="en-US" b="1">
                <a:solidFill>
                  <a:sysClr val="windowText" lastClr="000000"/>
                </a:solidFill>
              </a:rPr>
              <a:t>Compensation</a:t>
            </a:r>
            <a:r>
              <a:rPr lang="en-US" b="1" baseline="0">
                <a:solidFill>
                  <a:sysClr val="windowText" lastClr="000000"/>
                </a:solidFill>
              </a:rPr>
              <a:t> Strategies Over Time</a:t>
            </a:r>
            <a:endParaRPr lang="en-US" b="1">
              <a:solidFill>
                <a:sysClr val="windowText" lastClr="000000"/>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1"/>
          <c:order val="0"/>
          <c:tx>
            <c:v>New</c:v>
          </c:tx>
          <c:spPr>
            <a:ln w="28575" cap="rnd">
              <a:solidFill>
                <a:schemeClr val="accent2"/>
              </a:solidFill>
              <a:round/>
            </a:ln>
            <a:effectLst/>
          </c:spPr>
          <c:marker>
            <c:symbol val="none"/>
          </c:marker>
          <c:val>
            <c:numRef>
              <c:f>'Chart Tables'!$D$53:$D$58</c:f>
              <c:numCache>
                <c:formatCode>_("$"* #,##0_);_("$"* \(#,##0\);_("$"* "-"??_);_(@_)</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0-1DC4-4D23-8575-6BDBB60A23F2}"/>
            </c:ext>
          </c:extLst>
        </c:ser>
        <c:ser>
          <c:idx val="0"/>
          <c:order val="1"/>
          <c:tx>
            <c:v>Current</c:v>
          </c:tx>
          <c:spPr>
            <a:ln w="28575" cap="rnd">
              <a:solidFill>
                <a:schemeClr val="accent1"/>
              </a:solidFill>
              <a:round/>
            </a:ln>
            <a:effectLst/>
          </c:spPr>
          <c:marker>
            <c:symbol val="none"/>
          </c:marker>
          <c:cat>
            <c:multiLvlStrRef>
              <c:f>'Basic Teacher Analysis'!$AP$4:$AU$4</c:f>
              <c:multiLvlStrCache>
                <c:ptCount val="1"/>
                <c:lvl>
                  <c:pt idx="0">
                    <c:v>Year 5</c:v>
                  </c:pt>
                </c:lvl>
                <c:lvl>
                  <c:pt idx="0">
                    <c:v>Year 4</c:v>
                  </c:pt>
                </c:lvl>
                <c:lvl>
                  <c:pt idx="0">
                    <c:v>Year 3</c:v>
                  </c:pt>
                </c:lvl>
                <c:lvl>
                  <c:pt idx="0">
                    <c:v>Year 2</c:v>
                  </c:pt>
                </c:lvl>
                <c:lvl>
                  <c:pt idx="0">
                    <c:v>Year 1</c:v>
                  </c:pt>
                </c:lvl>
                <c:lvl>
                  <c:pt idx="0">
                    <c:v>Year 0 (current)</c:v>
                  </c:pt>
                </c:lvl>
              </c:multiLvlStrCache>
            </c:multiLvlStrRef>
          </c:cat>
          <c:val>
            <c:numRef>
              <c:f>'Chart Tables'!$C$53:$C$58</c:f>
              <c:numCache>
                <c:formatCode>_("$"* #,##0_);_("$"* \(#,##0\);_("$"* "-"??_);_(@_)</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0-D2FC-4A2A-8CC0-E8E41F449217}"/>
            </c:ext>
          </c:extLst>
        </c:ser>
        <c:dLbls>
          <c:showLegendKey val="0"/>
          <c:showVal val="0"/>
          <c:showCatName val="0"/>
          <c:showSerName val="0"/>
          <c:showPercent val="0"/>
          <c:showBubbleSize val="0"/>
        </c:dLbls>
        <c:smooth val="0"/>
        <c:axId val="1235945327"/>
        <c:axId val="1235945807"/>
      </c:lineChart>
      <c:catAx>
        <c:axId val="12359453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35945807"/>
        <c:crosses val="autoZero"/>
        <c:auto val="1"/>
        <c:lblAlgn val="ctr"/>
        <c:lblOffset val="100"/>
        <c:noMultiLvlLbl val="0"/>
      </c:catAx>
      <c:valAx>
        <c:axId val="1235945807"/>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35945327"/>
        <c:crosses val="autoZero"/>
        <c:crossBetween val="between"/>
        <c:dispUnits>
          <c:builtInUnit val="millions"/>
          <c:dispUnitsLbl>
            <c:layout>
              <c:manualLayout>
                <c:xMode val="edge"/>
                <c:yMode val="edge"/>
                <c:x val="2.7797081306462822E-2"/>
                <c:y val="0.3930254041570439"/>
              </c:manualLayout>
            </c:layout>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ysClr val="windowText" lastClr="000000"/>
                </a:solidFill>
              </a:rPr>
              <a:t>School</a:t>
            </a:r>
            <a:r>
              <a:rPr lang="en-US" b="1" baseline="0">
                <a:solidFill>
                  <a:sysClr val="windowText" lastClr="000000"/>
                </a:solidFill>
              </a:rPr>
              <a:t> Leader </a:t>
            </a:r>
            <a:r>
              <a:rPr lang="en-US" b="1">
                <a:solidFill>
                  <a:sysClr val="windowText" lastClr="000000"/>
                </a:solidFill>
              </a:rPr>
              <a:t>Compensation</a:t>
            </a:r>
            <a:r>
              <a:rPr lang="en-US" b="1" baseline="0">
                <a:solidFill>
                  <a:sysClr val="windowText" lastClr="000000"/>
                </a:solidFill>
              </a:rPr>
              <a:t> Strategies Over Time</a:t>
            </a:r>
            <a:endParaRPr lang="en-US" b="1">
              <a:solidFill>
                <a:sysClr val="windowText" lastClr="000000"/>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New</c:v>
          </c:tx>
          <c:spPr>
            <a:ln w="28575" cap="rnd">
              <a:solidFill>
                <a:schemeClr val="accent1"/>
              </a:solidFill>
              <a:round/>
            </a:ln>
            <a:effectLst/>
          </c:spPr>
          <c:marker>
            <c:symbol val="none"/>
          </c:marker>
          <c:cat>
            <c:multiLvlStrRef>
              <c:f>'Basic Teacher Analysis'!$AP$4:$AU$4</c:f>
              <c:multiLvlStrCache>
                <c:ptCount val="1"/>
                <c:lvl>
                  <c:pt idx="0">
                    <c:v>Year 5</c:v>
                  </c:pt>
                </c:lvl>
                <c:lvl>
                  <c:pt idx="0">
                    <c:v>Year 4</c:v>
                  </c:pt>
                </c:lvl>
                <c:lvl>
                  <c:pt idx="0">
                    <c:v>Year 3</c:v>
                  </c:pt>
                </c:lvl>
                <c:lvl>
                  <c:pt idx="0">
                    <c:v>Year 2</c:v>
                  </c:pt>
                </c:lvl>
                <c:lvl>
                  <c:pt idx="0">
                    <c:v>Year 1</c:v>
                  </c:pt>
                </c:lvl>
                <c:lvl>
                  <c:pt idx="0">
                    <c:v>Year 0 (current)</c:v>
                  </c:pt>
                </c:lvl>
              </c:multiLvlStrCache>
            </c:multiLvlStrRef>
          </c:cat>
          <c:val>
            <c:numRef>
              <c:f>'Chart Tables'!$M$13:$M$18</c:f>
              <c:numCache>
                <c:formatCode>"$"#,##0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0-B6CC-4220-B6A9-143E93D48106}"/>
            </c:ext>
          </c:extLst>
        </c:ser>
        <c:ser>
          <c:idx val="1"/>
          <c:order val="1"/>
          <c:tx>
            <c:v>Current</c:v>
          </c:tx>
          <c:spPr>
            <a:ln w="28575" cap="rnd">
              <a:solidFill>
                <a:schemeClr val="accent2"/>
              </a:solidFill>
              <a:round/>
            </a:ln>
            <a:effectLst/>
          </c:spPr>
          <c:marker>
            <c:symbol val="none"/>
          </c:marker>
          <c:val>
            <c:numRef>
              <c:f>'Chart Tables'!$L$13:$L$18</c:f>
              <c:numCache>
                <c:formatCode>"$"#,##0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0-4ADE-44EE-BB32-D5CC8D2436AA}"/>
            </c:ext>
          </c:extLst>
        </c:ser>
        <c:dLbls>
          <c:showLegendKey val="0"/>
          <c:showVal val="0"/>
          <c:showCatName val="0"/>
          <c:showSerName val="0"/>
          <c:showPercent val="0"/>
          <c:showBubbleSize val="0"/>
        </c:dLbls>
        <c:smooth val="0"/>
        <c:axId val="1235945327"/>
        <c:axId val="1235945807"/>
      </c:lineChart>
      <c:catAx>
        <c:axId val="12359453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35945807"/>
        <c:crosses val="autoZero"/>
        <c:auto val="1"/>
        <c:lblAlgn val="ctr"/>
        <c:lblOffset val="100"/>
        <c:noMultiLvlLbl val="0"/>
      </c:catAx>
      <c:valAx>
        <c:axId val="1235945807"/>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35945327"/>
        <c:crosses val="autoZero"/>
        <c:crossBetween val="between"/>
        <c:dispUnits>
          <c:builtInUnit val="millions"/>
          <c:dispUnitsLbl>
            <c:layout>
              <c:manualLayout>
                <c:xMode val="edge"/>
                <c:yMode val="edge"/>
                <c:x val="2.7797081306462822E-2"/>
                <c:y val="0.3930254041570439"/>
              </c:manualLayout>
            </c:layout>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ysClr val="windowText" lastClr="000000"/>
                </a:solidFill>
              </a:rPr>
              <a:t>Overall Compensation</a:t>
            </a:r>
            <a:r>
              <a:rPr lang="en-US" b="1" baseline="0">
                <a:solidFill>
                  <a:sysClr val="windowText" lastClr="000000"/>
                </a:solidFill>
              </a:rPr>
              <a:t> Strategies Over Time</a:t>
            </a:r>
            <a:endParaRPr lang="en-US" b="1">
              <a:solidFill>
                <a:sysClr val="windowText" lastClr="000000"/>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New</c:v>
          </c:tx>
          <c:spPr>
            <a:ln w="28575" cap="rnd">
              <a:solidFill>
                <a:schemeClr val="accent1"/>
              </a:solidFill>
              <a:round/>
            </a:ln>
            <a:effectLst/>
          </c:spPr>
          <c:marker>
            <c:symbol val="none"/>
          </c:marker>
          <c:cat>
            <c:multiLvlStrRef>
              <c:f>'Basic Teacher Analysis'!$AP$4:$AU$4</c:f>
              <c:multiLvlStrCache>
                <c:ptCount val="1"/>
                <c:lvl>
                  <c:pt idx="0">
                    <c:v>Year 5</c:v>
                  </c:pt>
                </c:lvl>
                <c:lvl>
                  <c:pt idx="0">
                    <c:v>Year 4</c:v>
                  </c:pt>
                </c:lvl>
                <c:lvl>
                  <c:pt idx="0">
                    <c:v>Year 3</c:v>
                  </c:pt>
                </c:lvl>
                <c:lvl>
                  <c:pt idx="0">
                    <c:v>Year 2</c:v>
                  </c:pt>
                </c:lvl>
                <c:lvl>
                  <c:pt idx="0">
                    <c:v>Year 1</c:v>
                  </c:pt>
                </c:lvl>
                <c:lvl>
                  <c:pt idx="0">
                    <c:v>Year 0 (current)</c:v>
                  </c:pt>
                </c:lvl>
              </c:multiLvlStrCache>
            </c:multiLvlStrRef>
          </c:cat>
          <c:val>
            <c:numRef>
              <c:f>'Chart Tables'!$Y$18:$Y$23</c:f>
              <c:numCache>
                <c:formatCode>_("$"* #,##0_);_("$"* \(#,##0\);_("$"* "-"??_);_(@_)</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0-122E-4811-854F-B6DEDF654071}"/>
            </c:ext>
          </c:extLst>
        </c:ser>
        <c:ser>
          <c:idx val="1"/>
          <c:order val="1"/>
          <c:tx>
            <c:v>Current</c:v>
          </c:tx>
          <c:spPr>
            <a:ln w="28575" cap="rnd">
              <a:solidFill>
                <a:schemeClr val="accent2"/>
              </a:solidFill>
              <a:round/>
            </a:ln>
            <a:effectLst/>
          </c:spPr>
          <c:marker>
            <c:symbol val="none"/>
          </c:marker>
          <c:val>
            <c:numRef>
              <c:f>'Chart Tables'!$X$18:$X$23</c:f>
              <c:numCache>
                <c:formatCode>_("$"* #,##0_);_("$"* \(#,##0\);_("$"* "-"??_);_(@_)</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0-ABA9-44A4-A5D2-14B03DECF7EE}"/>
            </c:ext>
          </c:extLst>
        </c:ser>
        <c:dLbls>
          <c:showLegendKey val="0"/>
          <c:showVal val="0"/>
          <c:showCatName val="0"/>
          <c:showSerName val="0"/>
          <c:showPercent val="0"/>
          <c:showBubbleSize val="0"/>
        </c:dLbls>
        <c:smooth val="0"/>
        <c:axId val="1235945327"/>
        <c:axId val="1235945807"/>
      </c:lineChart>
      <c:catAx>
        <c:axId val="12359453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35945807"/>
        <c:crosses val="autoZero"/>
        <c:auto val="1"/>
        <c:lblAlgn val="ctr"/>
        <c:lblOffset val="100"/>
        <c:noMultiLvlLbl val="0"/>
      </c:catAx>
      <c:valAx>
        <c:axId val="1235945807"/>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35945327"/>
        <c:crosses val="autoZero"/>
        <c:crossBetween val="between"/>
        <c:dispUnits>
          <c:builtInUnit val="millions"/>
          <c:dispUnitsLbl>
            <c:layout>
              <c:manualLayout>
                <c:xMode val="edge"/>
                <c:yMode val="edge"/>
                <c:x val="1.8005185092377526E-2"/>
                <c:y val="0.38961542850621927"/>
              </c:manualLayout>
            </c:layout>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ysClr val="windowText" lastClr="000000"/>
                </a:solidFill>
              </a:rPr>
              <a:t>Compensation Strategy Cost Comparison by Position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stacked"/>
        <c:varyColors val="0"/>
        <c:ser>
          <c:idx val="3"/>
          <c:order val="0"/>
          <c:tx>
            <c:v>Teacher Compensation</c:v>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 Tables'!$X$3:$Y$3</c:f>
              <c:strCache>
                <c:ptCount val="2"/>
                <c:pt idx="0">
                  <c:v>Current</c:v>
                </c:pt>
                <c:pt idx="1">
                  <c:v>New</c:v>
                </c:pt>
              </c:strCache>
            </c:strRef>
          </c:cat>
          <c:val>
            <c:numRef>
              <c:f>'Chart Tables'!$X$12:$Y$12</c:f>
              <c:numCache>
                <c:formatCode>_("$"* #,##0_);_("$"* \(#,##0\);_("$"* "-"??_);_(@_)</c:formatCode>
                <c:ptCount val="2"/>
                <c:pt idx="0">
                  <c:v>0</c:v>
                </c:pt>
                <c:pt idx="1">
                  <c:v>0</c:v>
                </c:pt>
              </c:numCache>
            </c:numRef>
          </c:val>
          <c:extLst>
            <c:ext xmlns:c16="http://schemas.microsoft.com/office/drawing/2014/chart" uri="{C3380CC4-5D6E-409C-BE32-E72D297353CC}">
              <c16:uniqueId val="{00000002-9DDA-482C-AB83-07398ABEAF65}"/>
            </c:ext>
          </c:extLst>
        </c:ser>
        <c:ser>
          <c:idx val="4"/>
          <c:order val="1"/>
          <c:tx>
            <c:v>Principal and AP Compensation</c:v>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 Tables'!$X$3:$Y$3</c:f>
              <c:strCache>
                <c:ptCount val="2"/>
                <c:pt idx="0">
                  <c:v>Current</c:v>
                </c:pt>
                <c:pt idx="1">
                  <c:v>New</c:v>
                </c:pt>
              </c:strCache>
            </c:strRef>
          </c:cat>
          <c:val>
            <c:numRef>
              <c:f>'Chart Tables'!$X$13:$Y$13</c:f>
              <c:numCache>
                <c:formatCode>_("$"* #,##0_);_("$"* \(#,##0\);_("$"* "-"??_);_(@_)</c:formatCode>
                <c:ptCount val="2"/>
                <c:pt idx="0">
                  <c:v>0</c:v>
                </c:pt>
                <c:pt idx="1">
                  <c:v>0</c:v>
                </c:pt>
              </c:numCache>
            </c:numRef>
          </c:val>
          <c:extLst>
            <c:ext xmlns:c16="http://schemas.microsoft.com/office/drawing/2014/chart" uri="{C3380CC4-5D6E-409C-BE32-E72D297353CC}">
              <c16:uniqueId val="{00000003-9DDA-482C-AB83-07398ABEAF65}"/>
            </c:ext>
          </c:extLst>
        </c:ser>
        <c:dLbls>
          <c:showLegendKey val="0"/>
          <c:showVal val="1"/>
          <c:showCatName val="0"/>
          <c:showSerName val="0"/>
          <c:showPercent val="0"/>
          <c:showBubbleSize val="0"/>
        </c:dLbls>
        <c:gapWidth val="150"/>
        <c:overlap val="100"/>
        <c:axId val="1659166320"/>
        <c:axId val="1659164656"/>
      </c:barChart>
      <c:lineChart>
        <c:grouping val="standard"/>
        <c:varyColors val="0"/>
        <c:ser>
          <c:idx val="6"/>
          <c:order val="2"/>
          <c:tx>
            <c:v>TOTAL COST</c:v>
          </c:tx>
          <c:spPr>
            <a:ln w="25400" cap="rnd">
              <a:noFill/>
              <a:round/>
            </a:ln>
            <a:effectLst/>
          </c:spPr>
          <c:marker>
            <c:symbol val="none"/>
          </c:marker>
          <c:dLbls>
            <c:delete val="1"/>
          </c:dLbls>
          <c:cat>
            <c:strRef>
              <c:f>'Chart Tables'!$X$11:$Y$11</c:f>
              <c:strCache>
                <c:ptCount val="2"/>
                <c:pt idx="0">
                  <c:v>Current</c:v>
                </c:pt>
                <c:pt idx="1">
                  <c:v>New</c:v>
                </c:pt>
              </c:strCache>
            </c:strRef>
          </c:cat>
          <c:val>
            <c:numRef>
              <c:f>'Chart Tables'!$X$14:$Y$14</c:f>
              <c:numCache>
                <c:formatCode>_("$"* #,##0_);_("$"* \(#,##0\);_("$"* "-"??_);_(@_)</c:formatCode>
                <c:ptCount val="2"/>
                <c:pt idx="0">
                  <c:v>0</c:v>
                </c:pt>
                <c:pt idx="1">
                  <c:v>0</c:v>
                </c:pt>
              </c:numCache>
            </c:numRef>
          </c:val>
          <c:smooth val="0"/>
          <c:extLst>
            <c:ext xmlns:c16="http://schemas.microsoft.com/office/drawing/2014/chart" uri="{C3380CC4-5D6E-409C-BE32-E72D297353CC}">
              <c16:uniqueId val="{00000005-9DDA-482C-AB83-07398ABEAF65}"/>
            </c:ext>
          </c:extLst>
        </c:ser>
        <c:dLbls>
          <c:showLegendKey val="0"/>
          <c:showVal val="1"/>
          <c:showCatName val="0"/>
          <c:showSerName val="0"/>
          <c:showPercent val="0"/>
          <c:showBubbleSize val="0"/>
        </c:dLbls>
        <c:marker val="1"/>
        <c:smooth val="0"/>
        <c:axId val="1791204464"/>
        <c:axId val="1791215280"/>
      </c:lineChart>
      <c:catAx>
        <c:axId val="165916632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59164656"/>
        <c:crosses val="autoZero"/>
        <c:auto val="1"/>
        <c:lblAlgn val="ctr"/>
        <c:lblOffset val="100"/>
        <c:noMultiLvlLbl val="0"/>
      </c:catAx>
      <c:valAx>
        <c:axId val="1659164656"/>
        <c:scaling>
          <c:orientation val="minMax"/>
        </c:scaling>
        <c:delete val="0"/>
        <c:axPos val="t"/>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59166320"/>
        <c:crosses val="autoZero"/>
        <c:crossBetween val="between"/>
        <c:dispUnits>
          <c:builtInUnit val="millions"/>
          <c:dispUnitsLbl>
            <c:layout>
              <c:manualLayout>
                <c:xMode val="edge"/>
                <c:yMode val="edge"/>
                <c:x val="3.401137893259059E-2"/>
                <c:y val="0.13085165135608048"/>
              </c:manualLayout>
            </c:layout>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valAx>
        <c:axId val="1791215280"/>
        <c:scaling>
          <c:orientation val="minMax"/>
        </c:scaling>
        <c:delete val="1"/>
        <c:axPos val="r"/>
        <c:numFmt formatCode="_(&quot;$&quot;* #,##0_);_(&quot;$&quot;* \(#,##0\);_(&quot;$&quot;* &quot;-&quot;??_);_(@_)" sourceLinked="1"/>
        <c:majorTickMark val="out"/>
        <c:minorTickMark val="none"/>
        <c:tickLblPos val="nextTo"/>
        <c:crossAx val="1791204464"/>
        <c:crosses val="max"/>
        <c:crossBetween val="between"/>
      </c:valAx>
      <c:catAx>
        <c:axId val="1791204464"/>
        <c:scaling>
          <c:orientation val="minMax"/>
        </c:scaling>
        <c:delete val="1"/>
        <c:axPos val="b"/>
        <c:numFmt formatCode="General" sourceLinked="1"/>
        <c:majorTickMark val="out"/>
        <c:minorTickMark val="none"/>
        <c:tickLblPos val="nextTo"/>
        <c:crossAx val="1791215280"/>
        <c:crosses val="autoZero"/>
        <c:auto val="1"/>
        <c:lblAlgn val="ctr"/>
        <c:lblOffset val="100"/>
        <c:noMultiLvlLbl val="0"/>
      </c:catAx>
      <c:spPr>
        <a:noFill/>
        <a:ln>
          <a:noFill/>
        </a:ln>
        <a:effectLst/>
      </c:spPr>
    </c:plotArea>
    <c:legend>
      <c:legendPos val="b"/>
      <c:legendEntry>
        <c:idx val="2"/>
        <c:delete val="1"/>
      </c:legendEntry>
      <c:layout>
        <c:manualLayout>
          <c:xMode val="edge"/>
          <c:yMode val="edge"/>
          <c:x val="0.16368678915135609"/>
          <c:y val="0.82271037673013936"/>
          <c:w val="0.83631320732795722"/>
          <c:h val="0.1590641121835051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ysClr val="windowText" lastClr="000000"/>
                </a:solidFill>
              </a:rPr>
              <a:t>Teacher</a:t>
            </a:r>
            <a:r>
              <a:rPr lang="en-US" b="1" baseline="0">
                <a:solidFill>
                  <a:sysClr val="windowText" lastClr="000000"/>
                </a:solidFill>
              </a:rPr>
              <a:t> Compensation by Effectiveness Designation for Teachers with 10 YOE</a:t>
            </a:r>
            <a:endParaRPr lang="en-US" b="1">
              <a:solidFill>
                <a:sysClr val="windowText" lastClr="000000"/>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1"/>
          <c:order val="0"/>
          <c:tx>
            <c:v>Current</c:v>
          </c:tx>
          <c:spPr>
            <a:solidFill>
              <a:schemeClr val="accent2"/>
            </a:solidFill>
            <a:ln>
              <a:noFill/>
            </a:ln>
            <a:effectLst/>
          </c:spPr>
          <c:invertIfNegative val="0"/>
          <c:cat>
            <c:strRef>
              <c:f>'Chart Tables'!$B$63:$B$72</c:f>
              <c:strCache>
                <c:ptCount val="10"/>
              </c:strCache>
            </c:strRef>
          </c:cat>
          <c:val>
            <c:numRef>
              <c:f>'Chart Tables'!$E$63:$E$72</c:f>
              <c:numCache>
                <c:formatCode>_("$"* #,##0_);_("$"* \(#,##0\);_("$"* "-"??_);_(@_)</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E93-4955-AE3C-8F91398483F9}"/>
            </c:ext>
          </c:extLst>
        </c:ser>
        <c:ser>
          <c:idx val="0"/>
          <c:order val="1"/>
          <c:tx>
            <c:v>New</c:v>
          </c:tx>
          <c:spPr>
            <a:solidFill>
              <a:schemeClr val="accent1"/>
            </a:solidFill>
            <a:ln>
              <a:noFill/>
            </a:ln>
            <a:effectLst/>
          </c:spPr>
          <c:invertIfNegative val="0"/>
          <c:cat>
            <c:strRef>
              <c:f>'Chart Tables'!$B$63:$B$72</c:f>
              <c:strCache>
                <c:ptCount val="10"/>
              </c:strCache>
            </c:strRef>
          </c:cat>
          <c:val>
            <c:numRef>
              <c:f>'Chart Tables'!$F$63:$F$72</c:f>
              <c:numCache>
                <c:formatCode>_("$"* #,##0_);_("$"* \(#,##0\);_("$"* "-"??_);_(@_)</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E93-4955-AE3C-8F91398483F9}"/>
            </c:ext>
          </c:extLst>
        </c:ser>
        <c:dLbls>
          <c:showLegendKey val="0"/>
          <c:showVal val="0"/>
          <c:showCatName val="0"/>
          <c:showSerName val="0"/>
          <c:showPercent val="0"/>
          <c:showBubbleSize val="0"/>
        </c:dLbls>
        <c:gapWidth val="219"/>
        <c:overlap val="-27"/>
        <c:axId val="1283616719"/>
        <c:axId val="1283611439"/>
      </c:barChart>
      <c:catAx>
        <c:axId val="128361671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83611439"/>
        <c:crosses val="autoZero"/>
        <c:auto val="1"/>
        <c:lblAlgn val="ctr"/>
        <c:lblOffset val="100"/>
        <c:noMultiLvlLbl val="0"/>
      </c:catAx>
      <c:valAx>
        <c:axId val="1283611439"/>
        <c:scaling>
          <c:orientation val="minMax"/>
        </c:scaling>
        <c:delete val="0"/>
        <c:axPos val="l"/>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83616719"/>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ysClr val="windowText" lastClr="000000"/>
                </a:solidFill>
              </a:rPr>
              <a:t>Effectiveness</a:t>
            </a:r>
            <a:r>
              <a:rPr lang="en-US" b="1" baseline="0">
                <a:solidFill>
                  <a:sysClr val="windowText" lastClr="000000"/>
                </a:solidFill>
              </a:rPr>
              <a:t> Pay Can Accelerate Teacher Earnings</a:t>
            </a:r>
            <a:endParaRPr lang="en-US" b="1">
              <a:solidFill>
                <a:sysClr val="windowText" lastClr="000000"/>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'Chart Tables'!$C$88</c:f>
              <c:strCache>
                <c:ptCount val="1"/>
                <c:pt idx="0">
                  <c:v>Current</c:v>
                </c:pt>
              </c:strCache>
            </c:strRef>
          </c:tx>
          <c:spPr>
            <a:ln w="28575" cap="rnd">
              <a:solidFill>
                <a:schemeClr val="accent1"/>
              </a:solidFill>
              <a:round/>
            </a:ln>
            <a:effectLst/>
          </c:spPr>
          <c:marker>
            <c:symbol val="none"/>
          </c:marker>
          <c:cat>
            <c:numRef>
              <c:f>'Chart Tables'!$B$89:$B$99</c:f>
              <c:numCache>
                <c:formatCode>General</c:formatCode>
                <c:ptCount val="11"/>
                <c:pt idx="0">
                  <c:v>0</c:v>
                </c:pt>
                <c:pt idx="1">
                  <c:v>1</c:v>
                </c:pt>
                <c:pt idx="2">
                  <c:v>2</c:v>
                </c:pt>
                <c:pt idx="3">
                  <c:v>3</c:v>
                </c:pt>
                <c:pt idx="4">
                  <c:v>4</c:v>
                </c:pt>
                <c:pt idx="5">
                  <c:v>5</c:v>
                </c:pt>
                <c:pt idx="6">
                  <c:v>6</c:v>
                </c:pt>
                <c:pt idx="7">
                  <c:v>7</c:v>
                </c:pt>
                <c:pt idx="8">
                  <c:v>8</c:v>
                </c:pt>
                <c:pt idx="9">
                  <c:v>9</c:v>
                </c:pt>
                <c:pt idx="10">
                  <c:v>10</c:v>
                </c:pt>
              </c:numCache>
            </c:numRef>
          </c:cat>
          <c:val>
            <c:numRef>
              <c:f>'Chart Tables'!$C$89:$C$99</c:f>
              <c:numCache>
                <c:formatCode>_("$"* #,##0_);_("$"* \(#,##0\);_("$"* "-"??_);_(@_)</c:formatCode>
                <c:ptCount val="11"/>
                <c:pt idx="0">
                  <c:v>0</c:v>
                </c:pt>
                <c:pt idx="1">
                  <c:v>0</c:v>
                </c:pt>
                <c:pt idx="2">
                  <c:v>0</c:v>
                </c:pt>
                <c:pt idx="3">
                  <c:v>0</c:v>
                </c:pt>
                <c:pt idx="4">
                  <c:v>0</c:v>
                </c:pt>
                <c:pt idx="5">
                  <c:v>0</c:v>
                </c:pt>
                <c:pt idx="6">
                  <c:v>0</c:v>
                </c:pt>
                <c:pt idx="7">
                  <c:v>0</c:v>
                </c:pt>
                <c:pt idx="8">
                  <c:v>0</c:v>
                </c:pt>
                <c:pt idx="9">
                  <c:v>0</c:v>
                </c:pt>
                <c:pt idx="10">
                  <c:v>0</c:v>
                </c:pt>
              </c:numCache>
            </c:numRef>
          </c:val>
          <c:smooth val="0"/>
          <c:extLst>
            <c:ext xmlns:c16="http://schemas.microsoft.com/office/drawing/2014/chart" uri="{C3380CC4-5D6E-409C-BE32-E72D297353CC}">
              <c16:uniqueId val="{00000000-C673-49B2-8D94-EC2D911F3BBD}"/>
            </c:ext>
          </c:extLst>
        </c:ser>
        <c:ser>
          <c:idx val="1"/>
          <c:order val="1"/>
          <c:tx>
            <c:v>New - Teacher 1</c:v>
          </c:tx>
          <c:spPr>
            <a:ln w="28575" cap="rnd">
              <a:solidFill>
                <a:schemeClr val="accent2"/>
              </a:solidFill>
              <a:round/>
            </a:ln>
            <a:effectLst/>
          </c:spPr>
          <c:marker>
            <c:symbol val="none"/>
          </c:marker>
          <c:cat>
            <c:numRef>
              <c:f>'Chart Tables'!$B$89:$B$99</c:f>
              <c:numCache>
                <c:formatCode>General</c:formatCode>
                <c:ptCount val="11"/>
                <c:pt idx="0">
                  <c:v>0</c:v>
                </c:pt>
                <c:pt idx="1">
                  <c:v>1</c:v>
                </c:pt>
                <c:pt idx="2">
                  <c:v>2</c:v>
                </c:pt>
                <c:pt idx="3">
                  <c:v>3</c:v>
                </c:pt>
                <c:pt idx="4">
                  <c:v>4</c:v>
                </c:pt>
                <c:pt idx="5">
                  <c:v>5</c:v>
                </c:pt>
                <c:pt idx="6">
                  <c:v>6</c:v>
                </c:pt>
                <c:pt idx="7">
                  <c:v>7</c:v>
                </c:pt>
                <c:pt idx="8">
                  <c:v>8</c:v>
                </c:pt>
                <c:pt idx="9">
                  <c:v>9</c:v>
                </c:pt>
                <c:pt idx="10">
                  <c:v>10</c:v>
                </c:pt>
              </c:numCache>
            </c:numRef>
          </c:cat>
          <c:val>
            <c:numRef>
              <c:f>'Chart Tables'!$F$89:$F$99</c:f>
              <c:numCache>
                <c:formatCode>_("$"* #,##0_);_("$"* \(#,##0\);_("$"* "-"??_);_(@_)</c:formatCode>
                <c:ptCount val="11"/>
                <c:pt idx="0">
                  <c:v>0</c:v>
                </c:pt>
                <c:pt idx="1">
                  <c:v>0</c:v>
                </c:pt>
                <c:pt idx="2">
                  <c:v>0</c:v>
                </c:pt>
                <c:pt idx="3">
                  <c:v>0</c:v>
                </c:pt>
                <c:pt idx="4">
                  <c:v>0</c:v>
                </c:pt>
                <c:pt idx="5">
                  <c:v>0</c:v>
                </c:pt>
                <c:pt idx="6">
                  <c:v>0</c:v>
                </c:pt>
                <c:pt idx="7">
                  <c:v>0</c:v>
                </c:pt>
                <c:pt idx="8">
                  <c:v>0</c:v>
                </c:pt>
                <c:pt idx="9">
                  <c:v>0</c:v>
                </c:pt>
                <c:pt idx="10">
                  <c:v>0</c:v>
                </c:pt>
              </c:numCache>
            </c:numRef>
          </c:val>
          <c:smooth val="0"/>
          <c:extLst>
            <c:ext xmlns:c16="http://schemas.microsoft.com/office/drawing/2014/chart" uri="{C3380CC4-5D6E-409C-BE32-E72D297353CC}">
              <c16:uniqueId val="{00000001-C673-49B2-8D94-EC2D911F3BBD}"/>
            </c:ext>
          </c:extLst>
        </c:ser>
        <c:ser>
          <c:idx val="2"/>
          <c:order val="2"/>
          <c:tx>
            <c:v>New - Teacher 2</c:v>
          </c:tx>
          <c:spPr>
            <a:ln w="28575" cap="rnd">
              <a:solidFill>
                <a:schemeClr val="accent2"/>
              </a:solidFill>
              <a:prstDash val="sysDash"/>
              <a:round/>
            </a:ln>
            <a:effectLst/>
          </c:spPr>
          <c:marker>
            <c:symbol val="none"/>
          </c:marker>
          <c:val>
            <c:numRef>
              <c:f>'Chart Tables'!$H$89:$H$99</c:f>
              <c:numCache>
                <c:formatCode>_("$"* #,##0_);_("$"* \(#,##0\);_("$"* "-"??_);_(@_)</c:formatCode>
                <c:ptCount val="11"/>
                <c:pt idx="0">
                  <c:v>0</c:v>
                </c:pt>
                <c:pt idx="1">
                  <c:v>0</c:v>
                </c:pt>
                <c:pt idx="2">
                  <c:v>0</c:v>
                </c:pt>
                <c:pt idx="3">
                  <c:v>0</c:v>
                </c:pt>
                <c:pt idx="4">
                  <c:v>0</c:v>
                </c:pt>
                <c:pt idx="5">
                  <c:v>0</c:v>
                </c:pt>
                <c:pt idx="6">
                  <c:v>0</c:v>
                </c:pt>
                <c:pt idx="7">
                  <c:v>0</c:v>
                </c:pt>
                <c:pt idx="8">
                  <c:v>0</c:v>
                </c:pt>
                <c:pt idx="9">
                  <c:v>0</c:v>
                </c:pt>
                <c:pt idx="10">
                  <c:v>0</c:v>
                </c:pt>
              </c:numCache>
            </c:numRef>
          </c:val>
          <c:smooth val="0"/>
          <c:extLst>
            <c:ext xmlns:c16="http://schemas.microsoft.com/office/drawing/2014/chart" uri="{C3380CC4-5D6E-409C-BE32-E72D297353CC}">
              <c16:uniqueId val="{00000000-ED62-4BFE-BECC-0AEC18AA232B}"/>
            </c:ext>
          </c:extLst>
        </c:ser>
        <c:dLbls>
          <c:showLegendKey val="0"/>
          <c:showVal val="0"/>
          <c:showCatName val="0"/>
          <c:showSerName val="0"/>
          <c:showPercent val="0"/>
          <c:showBubbleSize val="0"/>
        </c:dLbls>
        <c:smooth val="0"/>
        <c:axId val="733493807"/>
        <c:axId val="733496207"/>
      </c:lineChart>
      <c:catAx>
        <c:axId val="733493807"/>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Years</a:t>
                </a:r>
                <a:r>
                  <a:rPr lang="en-US" baseline="0"/>
                  <a:t> of Experience</a:t>
                </a:r>
                <a:endParaRPr lang="en-US"/>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33496207"/>
        <c:crosses val="autoZero"/>
        <c:auto val="1"/>
        <c:lblAlgn val="ctr"/>
        <c:lblOffset val="100"/>
        <c:tickLblSkip val="5"/>
        <c:tickMarkSkip val="5"/>
        <c:noMultiLvlLbl val="0"/>
      </c:catAx>
      <c:valAx>
        <c:axId val="73349620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Teacher</a:t>
                </a:r>
                <a:r>
                  <a:rPr lang="en-US" baseline="0"/>
                  <a:t> Pay</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33493807"/>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ysClr val="windowText" lastClr="000000"/>
                </a:solidFill>
              </a:rPr>
              <a:t>Average</a:t>
            </a:r>
            <a:r>
              <a:rPr lang="en-US" b="1" baseline="0">
                <a:solidFill>
                  <a:sysClr val="windowText" lastClr="000000"/>
                </a:solidFill>
              </a:rPr>
              <a:t> Principal Compensation by Effectiveness Designation</a:t>
            </a:r>
            <a:endParaRPr lang="en-US" b="1">
              <a:solidFill>
                <a:sysClr val="windowText" lastClr="000000"/>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'Chart Tables'!$L$22</c:f>
              <c:strCache>
                <c:ptCount val="1"/>
                <c:pt idx="0">
                  <c:v>Current</c:v>
                </c:pt>
              </c:strCache>
            </c:strRef>
          </c:tx>
          <c:spPr>
            <a:solidFill>
              <a:schemeClr val="accent1"/>
            </a:solidFill>
            <a:ln>
              <a:noFill/>
            </a:ln>
            <a:effectLst/>
          </c:spPr>
          <c:invertIfNegative val="0"/>
          <c:cat>
            <c:numRef>
              <c:f>'Chart Tables'!$K$23:$K$32</c:f>
              <c:numCache>
                <c:formatCode>General</c:formatCode>
                <c:ptCount val="10"/>
                <c:pt idx="0">
                  <c:v>0</c:v>
                </c:pt>
                <c:pt idx="1">
                  <c:v>0</c:v>
                </c:pt>
                <c:pt idx="2">
                  <c:v>0</c:v>
                </c:pt>
                <c:pt idx="3">
                  <c:v>0</c:v>
                </c:pt>
                <c:pt idx="4">
                  <c:v>0</c:v>
                </c:pt>
                <c:pt idx="5">
                  <c:v>0</c:v>
                </c:pt>
                <c:pt idx="6">
                  <c:v>0</c:v>
                </c:pt>
                <c:pt idx="7">
                  <c:v>0</c:v>
                </c:pt>
                <c:pt idx="8">
                  <c:v>0</c:v>
                </c:pt>
                <c:pt idx="9">
                  <c:v>0</c:v>
                </c:pt>
              </c:numCache>
            </c:numRef>
          </c:cat>
          <c:val>
            <c:numRef>
              <c:f>'Chart Tables'!$P$23:$P$32</c:f>
              <c:numCache>
                <c:formatCode>"$"#,##0</c:formatCode>
                <c:ptCount val="10"/>
                <c:pt idx="0">
                  <c:v>#N/A</c:v>
                </c:pt>
                <c:pt idx="1">
                  <c:v>#N/A</c:v>
                </c:pt>
                <c:pt idx="2">
                  <c:v>#N/A</c:v>
                </c:pt>
                <c:pt idx="3">
                  <c:v>#N/A</c:v>
                </c:pt>
                <c:pt idx="4">
                  <c:v>#N/A</c:v>
                </c:pt>
                <c:pt idx="5">
                  <c:v>#N/A</c:v>
                </c:pt>
                <c:pt idx="6">
                  <c:v>#N/A</c:v>
                </c:pt>
                <c:pt idx="7">
                  <c:v>#N/A</c:v>
                </c:pt>
                <c:pt idx="8">
                  <c:v>#N/A</c:v>
                </c:pt>
                <c:pt idx="9">
                  <c:v>#N/A</c:v>
                </c:pt>
              </c:numCache>
            </c:numRef>
          </c:val>
          <c:extLst>
            <c:ext xmlns:c16="http://schemas.microsoft.com/office/drawing/2014/chart" uri="{C3380CC4-5D6E-409C-BE32-E72D297353CC}">
              <c16:uniqueId val="{00000000-5FDE-4DB2-B1B8-968FD00067E6}"/>
            </c:ext>
          </c:extLst>
        </c:ser>
        <c:ser>
          <c:idx val="1"/>
          <c:order val="1"/>
          <c:tx>
            <c:strRef>
              <c:f>'Chart Tables'!$M$22</c:f>
              <c:strCache>
                <c:ptCount val="1"/>
                <c:pt idx="0">
                  <c:v>New</c:v>
                </c:pt>
              </c:strCache>
            </c:strRef>
          </c:tx>
          <c:spPr>
            <a:solidFill>
              <a:schemeClr val="accent2"/>
            </a:solidFill>
            <a:ln>
              <a:noFill/>
            </a:ln>
            <a:effectLst/>
          </c:spPr>
          <c:invertIfNegative val="0"/>
          <c:cat>
            <c:numRef>
              <c:f>'Chart Tables'!$K$23:$K$32</c:f>
              <c:numCache>
                <c:formatCode>General</c:formatCode>
                <c:ptCount val="10"/>
                <c:pt idx="0">
                  <c:v>0</c:v>
                </c:pt>
                <c:pt idx="1">
                  <c:v>0</c:v>
                </c:pt>
                <c:pt idx="2">
                  <c:v>0</c:v>
                </c:pt>
                <c:pt idx="3">
                  <c:v>0</c:v>
                </c:pt>
                <c:pt idx="4">
                  <c:v>0</c:v>
                </c:pt>
                <c:pt idx="5">
                  <c:v>0</c:v>
                </c:pt>
                <c:pt idx="6">
                  <c:v>0</c:v>
                </c:pt>
                <c:pt idx="7">
                  <c:v>0</c:v>
                </c:pt>
                <c:pt idx="8">
                  <c:v>0</c:v>
                </c:pt>
                <c:pt idx="9">
                  <c:v>0</c:v>
                </c:pt>
              </c:numCache>
            </c:numRef>
          </c:cat>
          <c:val>
            <c:numRef>
              <c:f>'Chart Tables'!$Q$23:$Q$32</c:f>
              <c:numCache>
                <c:formatCode>"$"#,##0</c:formatCode>
                <c:ptCount val="10"/>
                <c:pt idx="0">
                  <c:v>#N/A</c:v>
                </c:pt>
                <c:pt idx="1">
                  <c:v>#N/A</c:v>
                </c:pt>
                <c:pt idx="2">
                  <c:v>#N/A</c:v>
                </c:pt>
                <c:pt idx="3">
                  <c:v>#N/A</c:v>
                </c:pt>
                <c:pt idx="4">
                  <c:v>#N/A</c:v>
                </c:pt>
                <c:pt idx="5">
                  <c:v>#N/A</c:v>
                </c:pt>
                <c:pt idx="6">
                  <c:v>#N/A</c:v>
                </c:pt>
                <c:pt idx="7">
                  <c:v>#N/A</c:v>
                </c:pt>
                <c:pt idx="8">
                  <c:v>#N/A</c:v>
                </c:pt>
                <c:pt idx="9">
                  <c:v>#N/A</c:v>
                </c:pt>
              </c:numCache>
            </c:numRef>
          </c:val>
          <c:extLst>
            <c:ext xmlns:c16="http://schemas.microsoft.com/office/drawing/2014/chart" uri="{C3380CC4-5D6E-409C-BE32-E72D297353CC}">
              <c16:uniqueId val="{00000001-5FDE-4DB2-B1B8-968FD00067E6}"/>
            </c:ext>
          </c:extLst>
        </c:ser>
        <c:dLbls>
          <c:showLegendKey val="0"/>
          <c:showVal val="0"/>
          <c:showCatName val="0"/>
          <c:showSerName val="0"/>
          <c:showPercent val="0"/>
          <c:showBubbleSize val="0"/>
        </c:dLbls>
        <c:gapWidth val="219"/>
        <c:overlap val="-27"/>
        <c:axId val="717185119"/>
        <c:axId val="717181279"/>
      </c:barChart>
      <c:catAx>
        <c:axId val="71718511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7181279"/>
        <c:crosses val="autoZero"/>
        <c:auto val="1"/>
        <c:lblAlgn val="ctr"/>
        <c:lblOffset val="100"/>
        <c:noMultiLvlLbl val="0"/>
      </c:catAx>
      <c:valAx>
        <c:axId val="717181279"/>
        <c:scaling>
          <c:orientation val="minMax"/>
        </c:scaling>
        <c:delete val="0"/>
        <c:axPos val="l"/>
        <c:numFmt formatCode="&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718511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editAs="oneCell">
    <xdr:from>
      <xdr:col>13</xdr:col>
      <xdr:colOff>485775</xdr:colOff>
      <xdr:row>0</xdr:row>
      <xdr:rowOff>48286</xdr:rowOff>
    </xdr:from>
    <xdr:to>
      <xdr:col>16</xdr:col>
      <xdr:colOff>361949</xdr:colOff>
      <xdr:row>2</xdr:row>
      <xdr:rowOff>174624</xdr:rowOff>
    </xdr:to>
    <xdr:pic>
      <xdr:nvPicPr>
        <xdr:cNvPr id="2" name="Picture 1" descr="A picture containing diagram, arrow&#10;&#10;Description automatically generated">
          <a:extLst>
            <a:ext uri="{FF2B5EF4-FFF2-40B4-BE49-F238E27FC236}">
              <a16:creationId xmlns:a16="http://schemas.microsoft.com/office/drawing/2014/main" id="{2B98EF4B-717C-421C-AABD-59D4FF75D3D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829675" y="48286"/>
          <a:ext cx="1831974" cy="59306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485773</xdr:colOff>
      <xdr:row>2</xdr:row>
      <xdr:rowOff>203198</xdr:rowOff>
    </xdr:from>
    <xdr:to>
      <xdr:col>14</xdr:col>
      <xdr:colOff>238123</xdr:colOff>
      <xdr:row>12</xdr:row>
      <xdr:rowOff>355598</xdr:rowOff>
    </xdr:to>
    <xdr:graphicFrame macro="">
      <xdr:nvGraphicFramePr>
        <xdr:cNvPr id="31" name="Chart 1">
          <a:extLst>
            <a:ext uri="{FF2B5EF4-FFF2-40B4-BE49-F238E27FC236}">
              <a16:creationId xmlns:a16="http://schemas.microsoft.com/office/drawing/2014/main" id="{F16E8AB8-FBA0-4FA1-95B7-804CAF71EE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22</xdr:col>
      <xdr:colOff>581025</xdr:colOff>
      <xdr:row>2</xdr:row>
      <xdr:rowOff>215900</xdr:rowOff>
    </xdr:from>
    <xdr:to>
      <xdr:col>30</xdr:col>
      <xdr:colOff>63500</xdr:colOff>
      <xdr:row>12</xdr:row>
      <xdr:rowOff>368300</xdr:rowOff>
    </xdr:to>
    <xdr:graphicFrame macro="">
      <xdr:nvGraphicFramePr>
        <xdr:cNvPr id="29" name="Chart 3">
          <a:extLst>
            <a:ext uri="{FF2B5EF4-FFF2-40B4-BE49-F238E27FC236}">
              <a16:creationId xmlns:a16="http://schemas.microsoft.com/office/drawing/2014/main" id="{EE2B7174-F41E-4184-8828-ED38634781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514348</xdr:colOff>
      <xdr:row>47</xdr:row>
      <xdr:rowOff>165097</xdr:rowOff>
    </xdr:from>
    <xdr:to>
      <xdr:col>14</xdr:col>
      <xdr:colOff>266698</xdr:colOff>
      <xdr:row>60</xdr:row>
      <xdr:rowOff>60322</xdr:rowOff>
    </xdr:to>
    <xdr:graphicFrame macro="">
      <xdr:nvGraphicFramePr>
        <xdr:cNvPr id="10" name="Chart 4">
          <a:extLst>
            <a:ext uri="{FF2B5EF4-FFF2-40B4-BE49-F238E27FC236}">
              <a16:creationId xmlns:a16="http://schemas.microsoft.com/office/drawing/2014/main" id="{B62DCD06-8625-4FDB-94AE-29A6974994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571500</xdr:colOff>
      <xdr:row>45</xdr:row>
      <xdr:rowOff>123824</xdr:rowOff>
    </xdr:from>
    <xdr:to>
      <xdr:col>30</xdr:col>
      <xdr:colOff>53975</xdr:colOff>
      <xdr:row>57</xdr:row>
      <xdr:rowOff>180974</xdr:rowOff>
    </xdr:to>
    <xdr:graphicFrame macro="">
      <xdr:nvGraphicFramePr>
        <xdr:cNvPr id="58" name="Chart 5">
          <a:extLst>
            <a:ext uri="{FF2B5EF4-FFF2-40B4-BE49-F238E27FC236}">
              <a16:creationId xmlns:a16="http://schemas.microsoft.com/office/drawing/2014/main" id="{B5AC3BCE-329C-4C00-B150-ACCF5895CF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37</xdr:col>
      <xdr:colOff>342899</xdr:colOff>
      <xdr:row>15</xdr:row>
      <xdr:rowOff>247650</xdr:rowOff>
    </xdr:from>
    <xdr:to>
      <xdr:col>44</xdr:col>
      <xdr:colOff>565149</xdr:colOff>
      <xdr:row>27</xdr:row>
      <xdr:rowOff>142875</xdr:rowOff>
    </xdr:to>
    <xdr:graphicFrame macro="">
      <xdr:nvGraphicFramePr>
        <xdr:cNvPr id="69" name="Chart 9">
          <a:extLst>
            <a:ext uri="{FF2B5EF4-FFF2-40B4-BE49-F238E27FC236}">
              <a16:creationId xmlns:a16="http://schemas.microsoft.com/office/drawing/2014/main" id="{875F9C91-D239-4C52-BF25-A26B87250E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37</xdr:col>
      <xdr:colOff>358775</xdr:colOff>
      <xdr:row>3</xdr:row>
      <xdr:rowOff>114299</xdr:rowOff>
    </xdr:from>
    <xdr:to>
      <xdr:col>44</xdr:col>
      <xdr:colOff>581025</xdr:colOff>
      <xdr:row>13</xdr:row>
      <xdr:rowOff>104774</xdr:rowOff>
    </xdr:to>
    <xdr:graphicFrame macro="">
      <xdr:nvGraphicFramePr>
        <xdr:cNvPr id="2" name="Chart 10">
          <a:extLst>
            <a:ext uri="{FF2B5EF4-FFF2-40B4-BE49-F238E27FC236}">
              <a16:creationId xmlns:a16="http://schemas.microsoft.com/office/drawing/2014/main" id="{6E2647BF-764E-446F-B418-DDE60396B4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xdr:col>
      <xdr:colOff>498473</xdr:colOff>
      <xdr:row>15</xdr:row>
      <xdr:rowOff>28575</xdr:rowOff>
    </xdr:from>
    <xdr:to>
      <xdr:col>14</xdr:col>
      <xdr:colOff>250823</xdr:colOff>
      <xdr:row>26</xdr:row>
      <xdr:rowOff>295275</xdr:rowOff>
    </xdr:to>
    <xdr:graphicFrame macro="">
      <xdr:nvGraphicFramePr>
        <xdr:cNvPr id="7" name="Chart 6">
          <a:extLst>
            <a:ext uri="{FF2B5EF4-FFF2-40B4-BE49-F238E27FC236}">
              <a16:creationId xmlns:a16="http://schemas.microsoft.com/office/drawing/2014/main" id="{4BF22B4A-D238-410B-8EE1-AD7C39476B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xdr:col>
      <xdr:colOff>507998</xdr:colOff>
      <xdr:row>29</xdr:row>
      <xdr:rowOff>146048</xdr:rowOff>
    </xdr:from>
    <xdr:to>
      <xdr:col>14</xdr:col>
      <xdr:colOff>260348</xdr:colOff>
      <xdr:row>43</xdr:row>
      <xdr:rowOff>88898</xdr:rowOff>
    </xdr:to>
    <xdr:graphicFrame macro="">
      <xdr:nvGraphicFramePr>
        <xdr:cNvPr id="52" name="Chart 7">
          <a:extLst>
            <a:ext uri="{FF2B5EF4-FFF2-40B4-BE49-F238E27FC236}">
              <a16:creationId xmlns:a16="http://schemas.microsoft.com/office/drawing/2014/main" id="{B6D71501-2498-4CDC-B141-9EB688DD99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22</xdr:col>
      <xdr:colOff>571500</xdr:colOff>
      <xdr:row>15</xdr:row>
      <xdr:rowOff>28574</xdr:rowOff>
    </xdr:from>
    <xdr:to>
      <xdr:col>30</xdr:col>
      <xdr:colOff>53975</xdr:colOff>
      <xdr:row>26</xdr:row>
      <xdr:rowOff>295274</xdr:rowOff>
    </xdr:to>
    <xdr:graphicFrame macro="">
      <xdr:nvGraphicFramePr>
        <xdr:cNvPr id="64" name="Chart 8">
          <a:extLst>
            <a:ext uri="{FF2B5EF4-FFF2-40B4-BE49-F238E27FC236}">
              <a16:creationId xmlns:a16="http://schemas.microsoft.com/office/drawing/2014/main" id="{87FD76EB-8F8C-4347-BDC7-7969CB9277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22</xdr:col>
      <xdr:colOff>558800</xdr:colOff>
      <xdr:row>28</xdr:row>
      <xdr:rowOff>82550</xdr:rowOff>
    </xdr:from>
    <xdr:to>
      <xdr:col>30</xdr:col>
      <xdr:colOff>47625</xdr:colOff>
      <xdr:row>42</xdr:row>
      <xdr:rowOff>63500</xdr:rowOff>
    </xdr:to>
    <xdr:graphicFrame macro="">
      <xdr:nvGraphicFramePr>
        <xdr:cNvPr id="57" name="Chart 11">
          <a:extLst>
            <a:ext uri="{FF2B5EF4-FFF2-40B4-BE49-F238E27FC236}">
              <a16:creationId xmlns:a16="http://schemas.microsoft.com/office/drawing/2014/main" id="{4BA8F041-20C3-46BA-B3EB-DF338CC901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Claire Reid" id="{10BDF8D8-F203-4714-A851-339C3639F0B3}" userId="S::creid@erstrategies.org::3751b2e0-3ea6-440a-a50a-f3bc52cd84d5"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5" dT="2024-05-30T17:32:55.78" personId="{10BDF8D8-F203-4714-A851-339C3639F0B3}" id="{E0D3166C-9C57-45A1-837A-300F72A37B30}">
    <text>Placeholder data from Aldine</text>
  </threadedComment>
  <threadedComment ref="C96" dT="2024-05-30T17:32:55.78" personId="{10BDF8D8-F203-4714-A851-339C3639F0B3}" id="{427BDA3E-F143-472C-8105-92EEBC38EB81}">
    <text>Placeholder data from Aldine</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hyperlink" Target="https://tiatexas.org/funding-map/" TargetMode="Externa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9.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36DA2E-DB35-4898-AEE1-25297FF4A0D7}">
  <sheetPr codeName="Sheet1">
    <tabColor theme="6"/>
  </sheetPr>
  <dimension ref="A1:Q63"/>
  <sheetViews>
    <sheetView showGridLines="0" workbookViewId="0">
      <selection activeCell="T16" sqref="T16"/>
    </sheetView>
  </sheetViews>
  <sheetFormatPr defaultRowHeight="14.45"/>
  <cols>
    <col min="2" max="2" width="9" customWidth="1"/>
    <col min="9" max="9" width="10.85546875" customWidth="1"/>
    <col min="11" max="11" width="14.42578125" customWidth="1"/>
    <col min="16" max="16" width="10.42578125" customWidth="1"/>
    <col min="17" max="17" width="26.5703125" customWidth="1"/>
    <col min="18" max="18" width="10.5703125" customWidth="1"/>
  </cols>
  <sheetData>
    <row r="1" spans="1:17" ht="21">
      <c r="A1" s="158" t="s">
        <v>0</v>
      </c>
    </row>
    <row r="2" spans="1:17" ht="15.6">
      <c r="A2" s="370" t="s">
        <v>1</v>
      </c>
    </row>
    <row r="4" spans="1:17">
      <c r="B4" s="349" t="s">
        <v>2</v>
      </c>
    </row>
    <row r="5" spans="1:17" ht="21.6" thickBot="1">
      <c r="B5" s="158"/>
    </row>
    <row r="6" spans="1:17" ht="18.600000000000001">
      <c r="B6" s="88" t="s">
        <v>3</v>
      </c>
      <c r="C6" s="368"/>
      <c r="D6" s="368"/>
      <c r="E6" s="368"/>
      <c r="F6" s="368"/>
      <c r="G6" s="368"/>
      <c r="H6" s="368"/>
      <c r="I6" s="96"/>
      <c r="K6" s="417" t="s">
        <v>4</v>
      </c>
      <c r="L6" s="368"/>
      <c r="M6" s="368"/>
      <c r="N6" s="368"/>
      <c r="O6" s="368"/>
      <c r="P6" s="368"/>
      <c r="Q6" s="96"/>
    </row>
    <row r="7" spans="1:17" ht="15.95" customHeight="1">
      <c r="B7" s="1120" t="s">
        <v>5</v>
      </c>
      <c r="C7" s="1120"/>
      <c r="D7" s="1120"/>
      <c r="E7" s="1120"/>
      <c r="F7" s="1120"/>
      <c r="G7" s="1120"/>
      <c r="H7" s="1120"/>
      <c r="I7" s="1121"/>
      <c r="K7" s="418" t="s">
        <v>6</v>
      </c>
      <c r="Q7" s="1102" t="s">
        <v>7</v>
      </c>
    </row>
    <row r="8" spans="1:17" ht="15.6" customHeight="1" thickBot="1">
      <c r="B8" s="1120"/>
      <c r="C8" s="1120"/>
      <c r="D8" s="1120"/>
      <c r="E8" s="1120"/>
      <c r="F8" s="1120"/>
      <c r="G8" s="1120"/>
      <c r="H8" s="1120"/>
      <c r="I8" s="1121"/>
      <c r="K8" s="419" t="s">
        <v>8</v>
      </c>
      <c r="L8" s="97"/>
      <c r="M8" s="97"/>
      <c r="N8" s="97"/>
      <c r="O8" s="97"/>
      <c r="P8" s="97"/>
      <c r="Q8" s="1103" t="s">
        <v>7</v>
      </c>
    </row>
    <row r="9" spans="1:17" ht="15.6" customHeight="1" thickBot="1">
      <c r="B9" s="1120"/>
      <c r="C9" s="1120"/>
      <c r="D9" s="1120"/>
      <c r="E9" s="1120"/>
      <c r="F9" s="1120"/>
      <c r="G9" s="1120"/>
      <c r="H9" s="1120"/>
      <c r="I9" s="1121"/>
    </row>
    <row r="10" spans="1:17" ht="11.1" customHeight="1">
      <c r="B10" s="1120"/>
      <c r="C10" s="1120"/>
      <c r="D10" s="1120"/>
      <c r="E10" s="1120"/>
      <c r="F10" s="1120"/>
      <c r="G10" s="1120"/>
      <c r="H10" s="1120"/>
      <c r="I10" s="1121"/>
      <c r="K10" s="152" t="s">
        <v>9</v>
      </c>
      <c r="L10" s="89"/>
      <c r="M10" s="89"/>
      <c r="N10" s="89"/>
      <c r="O10" s="89"/>
      <c r="P10" s="89"/>
      <c r="Q10" s="79"/>
    </row>
    <row r="11" spans="1:17">
      <c r="B11" s="369"/>
      <c r="C11" s="1116" t="s">
        <v>10</v>
      </c>
      <c r="D11" s="1116"/>
      <c r="E11" s="1116"/>
      <c r="F11" s="1116"/>
      <c r="G11" s="1116"/>
      <c r="H11" s="1116"/>
      <c r="I11" s="1117"/>
      <c r="K11" s="334"/>
      <c r="L11" t="s">
        <v>11</v>
      </c>
      <c r="Q11" s="111"/>
    </row>
    <row r="12" spans="1:17" ht="15" thickBot="1">
      <c r="B12" s="369"/>
      <c r="C12" s="1116"/>
      <c r="D12" s="1116"/>
      <c r="E12" s="1116"/>
      <c r="F12" s="1116"/>
      <c r="G12" s="1116"/>
      <c r="H12" s="1116"/>
      <c r="I12" s="1117"/>
      <c r="K12" s="506"/>
      <c r="L12" s="97" t="s">
        <v>12</v>
      </c>
      <c r="M12" s="97"/>
      <c r="N12" s="97"/>
      <c r="O12" s="97"/>
      <c r="P12" s="97"/>
      <c r="Q12" s="81"/>
    </row>
    <row r="13" spans="1:17" ht="15.6" customHeight="1" thickBot="1">
      <c r="B13" s="1120" t="s">
        <v>13</v>
      </c>
      <c r="C13" s="1120"/>
      <c r="D13" s="1120"/>
      <c r="E13" s="1120"/>
      <c r="F13" s="1120"/>
      <c r="G13" s="1120"/>
      <c r="H13" s="1120"/>
      <c r="I13" s="1121"/>
    </row>
    <row r="14" spans="1:17" ht="14.45" customHeight="1">
      <c r="B14" s="1120"/>
      <c r="C14" s="1120"/>
      <c r="D14" s="1120"/>
      <c r="E14" s="1120"/>
      <c r="F14" s="1120"/>
      <c r="G14" s="1120"/>
      <c r="H14" s="1120"/>
      <c r="I14" s="1121"/>
      <c r="K14" s="1130" t="s">
        <v>14</v>
      </c>
      <c r="L14" s="1131"/>
      <c r="M14" s="1131"/>
      <c r="N14" s="1131"/>
      <c r="O14" s="1131"/>
      <c r="P14" s="1131"/>
      <c r="Q14" s="1132"/>
    </row>
    <row r="15" spans="1:17" ht="14.1" customHeight="1" thickBot="1">
      <c r="B15" s="1120"/>
      <c r="C15" s="1120"/>
      <c r="D15" s="1120"/>
      <c r="E15" s="1120"/>
      <c r="F15" s="1120"/>
      <c r="G15" s="1120"/>
      <c r="H15" s="1120"/>
      <c r="I15" s="1121"/>
      <c r="K15" s="1113"/>
      <c r="L15" s="1114"/>
      <c r="M15" s="1114"/>
      <c r="N15" s="1114"/>
      <c r="O15" s="1114"/>
      <c r="P15" s="1114"/>
      <c r="Q15" s="1115"/>
    </row>
    <row r="16" spans="1:17" ht="12.95" customHeight="1">
      <c r="B16" s="1120"/>
      <c r="C16" s="1120"/>
      <c r="D16" s="1120"/>
      <c r="E16" s="1120"/>
      <c r="F16" s="1120"/>
      <c r="G16" s="1120"/>
      <c r="H16" s="1120"/>
      <c r="I16" s="1121"/>
      <c r="K16" s="1110" t="s">
        <v>15</v>
      </c>
      <c r="L16" s="1111"/>
      <c r="M16" s="1111"/>
      <c r="N16" s="1111"/>
      <c r="O16" s="1111"/>
      <c r="P16" s="1111"/>
      <c r="Q16" s="1112"/>
    </row>
    <row r="17" spans="2:17" ht="14.45" customHeight="1">
      <c r="B17" s="1120" t="s">
        <v>16</v>
      </c>
      <c r="C17" s="1120"/>
      <c r="D17" s="1120"/>
      <c r="E17" s="1120"/>
      <c r="F17" s="1120"/>
      <c r="G17" s="1120"/>
      <c r="H17" s="1120"/>
      <c r="I17" s="1121"/>
      <c r="K17" s="1110"/>
      <c r="L17" s="1111"/>
      <c r="M17" s="1111"/>
      <c r="N17" s="1111"/>
      <c r="O17" s="1111"/>
      <c r="P17" s="1111"/>
      <c r="Q17" s="1112"/>
    </row>
    <row r="18" spans="2:17" ht="12.6" customHeight="1">
      <c r="B18" s="1120"/>
      <c r="C18" s="1120"/>
      <c r="D18" s="1120"/>
      <c r="E18" s="1120"/>
      <c r="F18" s="1120"/>
      <c r="G18" s="1120"/>
      <c r="H18" s="1120"/>
      <c r="I18" s="1121"/>
      <c r="K18" s="1110" t="s">
        <v>17</v>
      </c>
      <c r="L18" s="1111"/>
      <c r="M18" s="1111"/>
      <c r="N18" s="1111"/>
      <c r="O18" s="1111"/>
      <c r="P18" s="1111"/>
      <c r="Q18" s="1112"/>
    </row>
    <row r="19" spans="2:17" ht="15.95" customHeight="1">
      <c r="B19" s="1120"/>
      <c r="C19" s="1120"/>
      <c r="D19" s="1120"/>
      <c r="E19" s="1120"/>
      <c r="F19" s="1120"/>
      <c r="G19" s="1120"/>
      <c r="H19" s="1120"/>
      <c r="I19" s="1121"/>
      <c r="K19" s="1110"/>
      <c r="L19" s="1111"/>
      <c r="M19" s="1111"/>
      <c r="N19" s="1111"/>
      <c r="O19" s="1111"/>
      <c r="P19" s="1111"/>
      <c r="Q19" s="1112"/>
    </row>
    <row r="20" spans="2:17" ht="15" customHeight="1">
      <c r="B20" s="1126" t="s">
        <v>18</v>
      </c>
      <c r="C20" s="1126"/>
      <c r="D20" s="1126"/>
      <c r="E20" s="1126"/>
      <c r="F20" s="1126"/>
      <c r="G20" s="1126"/>
      <c r="H20" s="1126"/>
      <c r="I20" s="1127"/>
      <c r="K20" s="1086" t="s">
        <v>19</v>
      </c>
      <c r="L20" s="1108"/>
      <c r="M20" s="1108"/>
      <c r="N20" s="1108"/>
      <c r="O20" s="1108"/>
      <c r="P20" s="1108"/>
      <c r="Q20" s="242"/>
    </row>
    <row r="21" spans="2:17" ht="14.45" customHeight="1" thickBot="1">
      <c r="B21" s="1128"/>
      <c r="C21" s="1128"/>
      <c r="D21" s="1128"/>
      <c r="E21" s="1128"/>
      <c r="F21" s="1128"/>
      <c r="G21" s="1128"/>
      <c r="H21" s="1128"/>
      <c r="I21" s="1129"/>
      <c r="K21" s="1110" t="s">
        <v>20</v>
      </c>
      <c r="L21" s="1111"/>
      <c r="M21" s="1111"/>
      <c r="N21" s="1111"/>
      <c r="O21" s="1111"/>
      <c r="P21" s="1111"/>
      <c r="Q21" s="1112"/>
    </row>
    <row r="22" spans="2:17" ht="14.45" customHeight="1" thickBot="1">
      <c r="B22" s="1109"/>
      <c r="C22" s="1109"/>
      <c r="D22" s="1109"/>
      <c r="E22" s="1109"/>
      <c r="F22" s="1109"/>
      <c r="G22" s="1109"/>
      <c r="H22" s="1109"/>
      <c r="I22" s="1109"/>
      <c r="K22" s="1113"/>
      <c r="L22" s="1114"/>
      <c r="M22" s="1114"/>
      <c r="N22" s="1114"/>
      <c r="O22" s="1114"/>
      <c r="P22" s="1114"/>
      <c r="Q22" s="1115"/>
    </row>
    <row r="23" spans="2:17" ht="15" thickBot="1"/>
    <row r="24" spans="2:17">
      <c r="B24" s="88" t="s">
        <v>21</v>
      </c>
      <c r="C24" s="368"/>
      <c r="D24" s="368"/>
      <c r="E24" s="368"/>
      <c r="F24" s="368"/>
      <c r="G24" s="368"/>
      <c r="H24" s="368"/>
      <c r="I24" s="368"/>
      <c r="J24" s="368"/>
      <c r="K24" s="368"/>
      <c r="L24" s="368"/>
      <c r="M24" s="368"/>
      <c r="N24" s="368"/>
      <c r="O24" s="368"/>
      <c r="P24" s="368"/>
      <c r="Q24" s="96"/>
    </row>
    <row r="25" spans="2:17">
      <c r="B25" s="414"/>
      <c r="C25" s="283"/>
      <c r="D25" s="283"/>
      <c r="E25" s="283"/>
      <c r="F25" s="283"/>
      <c r="G25" s="283"/>
      <c r="H25" s="283"/>
      <c r="I25" s="283"/>
      <c r="J25" s="283"/>
      <c r="K25" s="283"/>
      <c r="L25" s="283"/>
      <c r="M25" s="283"/>
      <c r="N25" s="283"/>
      <c r="O25" s="283"/>
      <c r="P25" s="283"/>
      <c r="Q25" s="104"/>
    </row>
    <row r="26" spans="2:17" ht="15.6">
      <c r="B26" s="415" t="s">
        <v>22</v>
      </c>
      <c r="C26" s="283"/>
      <c r="D26" s="283"/>
      <c r="E26" s="283"/>
      <c r="F26" s="283"/>
      <c r="G26" s="283"/>
      <c r="H26" s="283"/>
      <c r="I26" s="283"/>
      <c r="J26" s="283"/>
      <c r="K26" s="283"/>
      <c r="L26" s="283"/>
      <c r="M26" s="283"/>
      <c r="N26" s="283"/>
      <c r="O26" s="283"/>
      <c r="P26" s="283"/>
      <c r="Q26" s="104"/>
    </row>
    <row r="27" spans="2:17" ht="14.45" customHeight="1">
      <c r="B27" s="1122" t="s">
        <v>23</v>
      </c>
      <c r="C27" s="1122"/>
      <c r="D27" s="1122"/>
      <c r="E27" s="1122"/>
      <c r="F27" s="1122"/>
      <c r="G27" s="1122"/>
      <c r="H27" s="1122"/>
      <c r="I27" s="1122"/>
      <c r="J27" s="1122"/>
      <c r="K27" s="1122"/>
      <c r="L27" s="1122"/>
      <c r="M27" s="1122"/>
      <c r="N27" s="1122"/>
      <c r="O27" s="1122"/>
      <c r="P27" s="1122"/>
      <c r="Q27" s="1123"/>
    </row>
    <row r="28" spans="2:17" ht="14.45" customHeight="1">
      <c r="B28" s="1122"/>
      <c r="C28" s="1122"/>
      <c r="D28" s="1122"/>
      <c r="E28" s="1122"/>
      <c r="F28" s="1122"/>
      <c r="G28" s="1122"/>
      <c r="H28" s="1122"/>
      <c r="I28" s="1122"/>
      <c r="J28" s="1122"/>
      <c r="K28" s="1122"/>
      <c r="L28" s="1122"/>
      <c r="M28" s="1122"/>
      <c r="N28" s="1122"/>
      <c r="O28" s="1122"/>
      <c r="P28" s="1122"/>
      <c r="Q28" s="1123"/>
    </row>
    <row r="29" spans="2:17" ht="14.45" customHeight="1">
      <c r="B29" s="414"/>
      <c r="C29" s="283" t="s">
        <v>24</v>
      </c>
      <c r="D29" s="283"/>
      <c r="E29" s="1088"/>
      <c r="F29" s="1088"/>
      <c r="G29" s="1088"/>
      <c r="H29" s="1088"/>
      <c r="I29" s="1088"/>
      <c r="J29" s="1088"/>
      <c r="K29" s="1088"/>
      <c r="L29" s="1088"/>
      <c r="M29" s="1088"/>
      <c r="N29" s="1088"/>
      <c r="O29" s="1088"/>
      <c r="P29" s="1088"/>
      <c r="Q29" s="1087"/>
    </row>
    <row r="30" spans="2:17" ht="14.45" customHeight="1">
      <c r="B30" s="414"/>
      <c r="C30" s="1118" t="s">
        <v>25</v>
      </c>
      <c r="D30" s="1118"/>
      <c r="E30" s="1118"/>
      <c r="F30" s="1118"/>
      <c r="G30" s="1118"/>
      <c r="H30" s="1118"/>
      <c r="I30" s="1118"/>
      <c r="J30" s="1118"/>
      <c r="K30" s="1118"/>
      <c r="L30" s="1118"/>
      <c r="M30" s="1118"/>
      <c r="N30" s="1118"/>
      <c r="O30" s="1118"/>
      <c r="P30" s="1118"/>
      <c r="Q30" s="1119"/>
    </row>
    <row r="31" spans="2:17">
      <c r="B31" s="414"/>
      <c r="C31" s="1118"/>
      <c r="D31" s="1118"/>
      <c r="E31" s="1118"/>
      <c r="F31" s="1118"/>
      <c r="G31" s="1118"/>
      <c r="H31" s="1118"/>
      <c r="I31" s="1118"/>
      <c r="J31" s="1118"/>
      <c r="K31" s="1118"/>
      <c r="L31" s="1118"/>
      <c r="M31" s="1118"/>
      <c r="N31" s="1118"/>
      <c r="O31" s="1118"/>
      <c r="P31" s="1118"/>
      <c r="Q31" s="1119"/>
    </row>
    <row r="32" spans="2:17">
      <c r="B32" s="414"/>
      <c r="C32" s="1118"/>
      <c r="D32" s="1118"/>
      <c r="E32" s="1118"/>
      <c r="F32" s="1118"/>
      <c r="G32" s="1118"/>
      <c r="H32" s="1118"/>
      <c r="I32" s="1118"/>
      <c r="J32" s="1118"/>
      <c r="K32" s="1118"/>
      <c r="L32" s="1118"/>
      <c r="M32" s="1118"/>
      <c r="N32" s="1118"/>
      <c r="O32" s="1118"/>
      <c r="P32" s="1118"/>
      <c r="Q32" s="1119"/>
    </row>
    <row r="33" spans="2:17" ht="14.45" customHeight="1">
      <c r="B33" s="414"/>
      <c r="C33" s="1118" t="s">
        <v>26</v>
      </c>
      <c r="D33" s="1118"/>
      <c r="E33" s="1118"/>
      <c r="F33" s="1118"/>
      <c r="G33" s="1118"/>
      <c r="H33" s="1118"/>
      <c r="I33" s="1118"/>
      <c r="J33" s="1118"/>
      <c r="K33" s="1118"/>
      <c r="L33" s="1118"/>
      <c r="M33" s="1118"/>
      <c r="N33" s="1118"/>
      <c r="O33" s="1118"/>
      <c r="P33" s="1118"/>
      <c r="Q33" s="1119"/>
    </row>
    <row r="34" spans="2:17" ht="14.45" customHeight="1">
      <c r="B34" s="414"/>
      <c r="C34" s="1118" t="s">
        <v>27</v>
      </c>
      <c r="D34" s="1118"/>
      <c r="E34" s="1118"/>
      <c r="F34" s="1118"/>
      <c r="G34" s="1118"/>
      <c r="H34" s="1118"/>
      <c r="I34" s="1118"/>
      <c r="J34" s="1118"/>
      <c r="K34" s="1118"/>
      <c r="L34" s="1118"/>
      <c r="M34" s="1118"/>
      <c r="N34" s="1118"/>
      <c r="O34" s="1118"/>
      <c r="P34" s="1118"/>
      <c r="Q34" s="1119"/>
    </row>
    <row r="35" spans="2:17">
      <c r="B35" s="414"/>
      <c r="C35" s="1118"/>
      <c r="D35" s="1118"/>
      <c r="E35" s="1118"/>
      <c r="F35" s="1118"/>
      <c r="G35" s="1118"/>
      <c r="H35" s="1118"/>
      <c r="I35" s="1118"/>
      <c r="J35" s="1118"/>
      <c r="K35" s="1118"/>
      <c r="L35" s="1118"/>
      <c r="M35" s="1118"/>
      <c r="N35" s="1118"/>
      <c r="O35" s="1118"/>
      <c r="P35" s="1118"/>
      <c r="Q35" s="1119"/>
    </row>
    <row r="36" spans="2:17">
      <c r="B36" s="539" t="s">
        <v>28</v>
      </c>
      <c r="C36" s="1065"/>
      <c r="D36" s="1065"/>
      <c r="E36" s="1065"/>
      <c r="F36" s="1065"/>
      <c r="G36" s="1065"/>
      <c r="H36" s="1065"/>
      <c r="I36" s="1065"/>
      <c r="J36" s="1065"/>
      <c r="K36" s="1065"/>
      <c r="L36" s="1065"/>
      <c r="M36" s="1065"/>
      <c r="N36" s="1065"/>
      <c r="O36" s="283"/>
      <c r="P36" s="283"/>
      <c r="Q36" s="104"/>
    </row>
    <row r="37" spans="2:17" ht="14.45" customHeight="1">
      <c r="B37" s="1122" t="s">
        <v>29</v>
      </c>
      <c r="C37" s="1122"/>
      <c r="D37" s="1122"/>
      <c r="E37" s="1122"/>
      <c r="F37" s="1122"/>
      <c r="G37" s="1122"/>
      <c r="H37" s="1122"/>
      <c r="I37" s="1122"/>
      <c r="J37" s="1122"/>
      <c r="K37" s="1122"/>
      <c r="L37" s="1122"/>
      <c r="M37" s="1122"/>
      <c r="N37" s="1122"/>
      <c r="O37" s="1122"/>
      <c r="P37" s="1122"/>
      <c r="Q37" s="1123"/>
    </row>
    <row r="38" spans="2:17">
      <c r="B38" s="1122"/>
      <c r="C38" s="1122"/>
      <c r="D38" s="1122"/>
      <c r="E38" s="1122"/>
      <c r="F38" s="1122"/>
      <c r="G38" s="1122"/>
      <c r="H38" s="1122"/>
      <c r="I38" s="1122"/>
      <c r="J38" s="1122"/>
      <c r="K38" s="1122"/>
      <c r="L38" s="1122"/>
      <c r="M38" s="1122"/>
      <c r="N38" s="1122"/>
      <c r="O38" s="1122"/>
      <c r="P38" s="1122"/>
      <c r="Q38" s="1123"/>
    </row>
    <row r="39" spans="2:17">
      <c r="B39" s="539" t="s">
        <v>30</v>
      </c>
      <c r="C39" s="1065"/>
      <c r="D39" s="1065"/>
      <c r="E39" s="1065"/>
      <c r="F39" s="1065"/>
      <c r="G39" s="1065"/>
      <c r="H39" s="1065"/>
      <c r="I39" s="1065"/>
      <c r="J39" s="1065"/>
      <c r="K39" s="1065"/>
      <c r="L39" s="1065"/>
      <c r="M39" s="1065"/>
      <c r="N39" s="1065"/>
      <c r="O39" s="283"/>
      <c r="P39" s="283"/>
      <c r="Q39" s="104"/>
    </row>
    <row r="40" spans="2:17" ht="14.45" customHeight="1">
      <c r="B40" s="1122" t="s">
        <v>31</v>
      </c>
      <c r="C40" s="1122"/>
      <c r="D40" s="1122"/>
      <c r="E40" s="1122"/>
      <c r="F40" s="1122"/>
      <c r="G40" s="1122"/>
      <c r="H40" s="1122"/>
      <c r="I40" s="1122"/>
      <c r="J40" s="1122"/>
      <c r="K40" s="1122"/>
      <c r="L40" s="1122"/>
      <c r="M40" s="1122"/>
      <c r="N40" s="1122"/>
      <c r="O40" s="1122"/>
      <c r="P40" s="1122"/>
      <c r="Q40" s="1123"/>
    </row>
    <row r="41" spans="2:17" ht="15" thickBot="1">
      <c r="B41" s="1124"/>
      <c r="C41" s="1124"/>
      <c r="D41" s="1124"/>
      <c r="E41" s="1124"/>
      <c r="F41" s="1124"/>
      <c r="G41" s="1124"/>
      <c r="H41" s="1124"/>
      <c r="I41" s="1124"/>
      <c r="J41" s="1124"/>
      <c r="K41" s="1124"/>
      <c r="L41" s="1124"/>
      <c r="M41" s="1124"/>
      <c r="N41" s="1124"/>
      <c r="O41" s="1124"/>
      <c r="P41" s="1124"/>
      <c r="Q41" s="1125"/>
    </row>
    <row r="42" spans="2:17" ht="15" thickBot="1"/>
    <row r="43" spans="2:17">
      <c r="B43" s="88" t="s">
        <v>32</v>
      </c>
      <c r="C43" s="368"/>
      <c r="D43" s="368"/>
      <c r="E43" s="368"/>
      <c r="F43" s="368"/>
      <c r="G43" s="368"/>
      <c r="H43" s="368"/>
      <c r="I43" s="368"/>
      <c r="J43" s="368"/>
      <c r="K43" s="368"/>
      <c r="L43" s="368"/>
      <c r="M43" s="368"/>
      <c r="N43" s="368"/>
      <c r="O43" s="368"/>
      <c r="P43" s="368"/>
      <c r="Q43" s="96"/>
    </row>
    <row r="44" spans="2:17">
      <c r="B44" s="414"/>
      <c r="C44" s="283"/>
      <c r="D44" s="283"/>
      <c r="E44" s="283"/>
      <c r="F44" s="283"/>
      <c r="G44" s="283"/>
      <c r="H44" s="283"/>
      <c r="I44" s="283"/>
      <c r="J44" s="283"/>
      <c r="K44" s="283"/>
      <c r="L44" s="283"/>
      <c r="M44" s="283"/>
      <c r="N44" s="283"/>
      <c r="O44" s="283"/>
      <c r="P44" s="283"/>
      <c r="Q44" s="104"/>
    </row>
    <row r="45" spans="2:17">
      <c r="B45" s="539" t="s">
        <v>33</v>
      </c>
      <c r="C45" s="283"/>
      <c r="D45" s="283"/>
      <c r="E45" s="283"/>
      <c r="F45" s="283"/>
      <c r="G45" s="283"/>
      <c r="H45" s="283"/>
      <c r="I45" s="283"/>
      <c r="J45" s="283"/>
      <c r="K45" s="283"/>
      <c r="L45" s="283"/>
      <c r="M45" s="283"/>
      <c r="N45" s="283"/>
      <c r="O45" s="283"/>
      <c r="P45" s="283"/>
      <c r="Q45" s="104"/>
    </row>
    <row r="46" spans="2:17">
      <c r="B46" s="414"/>
      <c r="C46" s="540" t="s">
        <v>34</v>
      </c>
      <c r="D46" s="283"/>
      <c r="E46" s="283"/>
      <c r="F46" s="283"/>
      <c r="G46" s="283"/>
      <c r="H46" s="283"/>
      <c r="I46" s="283"/>
      <c r="J46" s="283"/>
      <c r="K46" s="283"/>
      <c r="L46" s="283"/>
      <c r="M46" s="283"/>
      <c r="N46" s="283"/>
      <c r="O46" s="283"/>
      <c r="P46" s="283"/>
      <c r="Q46" s="104"/>
    </row>
    <row r="47" spans="2:17">
      <c r="B47" s="414"/>
      <c r="C47" s="540" t="s">
        <v>35</v>
      </c>
      <c r="D47" s="283"/>
      <c r="E47" s="283"/>
      <c r="F47" s="283"/>
      <c r="G47" s="283"/>
      <c r="H47" s="283"/>
      <c r="I47" s="283"/>
      <c r="J47" s="283"/>
      <c r="K47" s="283"/>
      <c r="L47" s="283"/>
      <c r="M47" s="283"/>
      <c r="N47" s="283"/>
      <c r="O47" s="283"/>
      <c r="P47" s="283"/>
      <c r="Q47" s="104"/>
    </row>
    <row r="48" spans="2:17">
      <c r="B48" s="414"/>
      <c r="C48" s="540" t="s">
        <v>36</v>
      </c>
      <c r="D48" s="283"/>
      <c r="E48" s="283"/>
      <c r="F48" s="283"/>
      <c r="G48" s="283"/>
      <c r="H48" s="283"/>
      <c r="I48" s="283"/>
      <c r="J48" s="283"/>
      <c r="K48" s="283"/>
      <c r="L48" s="283"/>
      <c r="M48" s="283"/>
      <c r="N48" s="283"/>
      <c r="O48" s="283"/>
      <c r="P48" s="283"/>
      <c r="Q48" s="104"/>
    </row>
    <row r="49" spans="2:17">
      <c r="B49" s="414"/>
      <c r="C49" s="540" t="s">
        <v>37</v>
      </c>
      <c r="D49" s="283"/>
      <c r="E49" s="283"/>
      <c r="F49" s="283"/>
      <c r="G49" s="283"/>
      <c r="H49" s="283"/>
      <c r="I49" s="283"/>
      <c r="J49" s="283"/>
      <c r="K49" s="283"/>
      <c r="L49" s="283"/>
      <c r="M49" s="283"/>
      <c r="N49" s="283"/>
      <c r="O49" s="283"/>
      <c r="P49" s="283"/>
      <c r="Q49" s="104"/>
    </row>
    <row r="50" spans="2:17">
      <c r="B50" s="414"/>
      <c r="C50" s="540" t="s">
        <v>38</v>
      </c>
      <c r="D50" s="283"/>
      <c r="E50" s="283"/>
      <c r="F50" s="283"/>
      <c r="G50" s="283"/>
      <c r="H50" s="283"/>
      <c r="I50" s="283"/>
      <c r="J50" s="283"/>
      <c r="K50" s="283"/>
      <c r="L50" s="283"/>
      <c r="M50" s="283"/>
      <c r="N50" s="283"/>
      <c r="O50" s="283"/>
      <c r="P50" s="283"/>
      <c r="Q50" s="104"/>
    </row>
    <row r="51" spans="2:17">
      <c r="B51" s="414"/>
      <c r="C51" s="540" t="s">
        <v>39</v>
      </c>
      <c r="D51" s="283"/>
      <c r="E51" s="283"/>
      <c r="F51" s="283"/>
      <c r="G51" s="283"/>
      <c r="H51" s="283"/>
      <c r="I51" s="283"/>
      <c r="J51" s="283"/>
      <c r="K51" s="283"/>
      <c r="L51" s="283"/>
      <c r="M51" s="283"/>
      <c r="N51" s="283"/>
      <c r="O51" s="283"/>
      <c r="P51" s="283"/>
      <c r="Q51" s="104"/>
    </row>
    <row r="52" spans="2:17" ht="15" customHeight="1">
      <c r="B52" s="414"/>
      <c r="C52" s="1116" t="s">
        <v>40</v>
      </c>
      <c r="D52" s="1118"/>
      <c r="E52" s="1118"/>
      <c r="F52" s="1118"/>
      <c r="G52" s="1118"/>
      <c r="H52" s="1118"/>
      <c r="I52" s="1118"/>
      <c r="J52" s="1118"/>
      <c r="K52" s="1118"/>
      <c r="L52" s="1118"/>
      <c r="M52" s="1118"/>
      <c r="N52" s="1118"/>
      <c r="O52" s="1118"/>
      <c r="P52" s="1118"/>
      <c r="Q52" s="1119"/>
    </row>
    <row r="53" spans="2:17">
      <c r="B53" s="541" t="s">
        <v>41</v>
      </c>
      <c r="C53" s="283"/>
      <c r="D53" s="283"/>
      <c r="E53" s="283"/>
      <c r="F53" s="283"/>
      <c r="G53" s="283"/>
      <c r="H53" s="283"/>
      <c r="I53" s="283"/>
      <c r="J53" s="283"/>
      <c r="K53" s="283"/>
      <c r="L53" s="283"/>
      <c r="M53" s="283"/>
      <c r="N53" s="283"/>
      <c r="O53" s="283"/>
      <c r="P53" s="283"/>
      <c r="Q53" s="104"/>
    </row>
    <row r="54" spans="2:17">
      <c r="B54" s="542"/>
      <c r="C54" s="540" t="s">
        <v>42</v>
      </c>
      <c r="D54" s="283"/>
      <c r="E54" s="283"/>
      <c r="F54" s="283"/>
      <c r="G54" s="283"/>
      <c r="H54" s="283"/>
      <c r="I54" s="283"/>
      <c r="J54" s="283"/>
      <c r="K54" s="283"/>
      <c r="L54" s="283"/>
      <c r="M54" s="283"/>
      <c r="N54" s="283"/>
      <c r="O54" s="283"/>
      <c r="P54" s="283"/>
      <c r="Q54" s="104"/>
    </row>
    <row r="55" spans="2:17">
      <c r="B55" s="542"/>
      <c r="C55" s="540" t="s">
        <v>43</v>
      </c>
      <c r="D55" s="283"/>
      <c r="E55" s="283"/>
      <c r="F55" s="283"/>
      <c r="G55" s="283"/>
      <c r="H55" s="283"/>
      <c r="I55" s="283"/>
      <c r="J55" s="283"/>
      <c r="K55" s="283"/>
      <c r="L55" s="283"/>
      <c r="M55" s="283"/>
      <c r="N55" s="283"/>
      <c r="O55" s="283"/>
      <c r="P55" s="283"/>
      <c r="Q55" s="104"/>
    </row>
    <row r="56" spans="2:17">
      <c r="B56" s="542"/>
      <c r="C56" s="540" t="s">
        <v>44</v>
      </c>
      <c r="D56" s="283"/>
      <c r="E56" s="283"/>
      <c r="F56" s="283"/>
      <c r="G56" s="283"/>
      <c r="H56" s="283"/>
      <c r="I56" s="283"/>
      <c r="J56" s="283"/>
      <c r="K56" s="283"/>
      <c r="L56" s="283"/>
      <c r="M56" s="283"/>
      <c r="N56" s="283"/>
      <c r="O56" s="283"/>
      <c r="P56" s="283"/>
      <c r="Q56" s="104"/>
    </row>
    <row r="57" spans="2:17">
      <c r="B57" s="543"/>
      <c r="C57" s="540" t="s">
        <v>45</v>
      </c>
      <c r="D57" s="283"/>
      <c r="E57" s="283"/>
      <c r="F57" s="283"/>
      <c r="G57" s="283"/>
      <c r="H57" s="283"/>
      <c r="I57" s="283"/>
      <c r="J57" s="283"/>
      <c r="K57" s="283"/>
      <c r="L57" s="283"/>
      <c r="M57" s="283"/>
      <c r="N57" s="283"/>
      <c r="O57" s="283"/>
      <c r="P57" s="283"/>
      <c r="Q57" s="104"/>
    </row>
    <row r="58" spans="2:17">
      <c r="B58" s="543"/>
      <c r="C58" s="1116" t="s">
        <v>46</v>
      </c>
      <c r="D58" s="1116"/>
      <c r="E58" s="1116"/>
      <c r="F58" s="1116"/>
      <c r="G58" s="1116"/>
      <c r="H58" s="1116"/>
      <c r="I58" s="1116"/>
      <c r="J58" s="1116"/>
      <c r="K58" s="1116"/>
      <c r="L58" s="1116"/>
      <c r="M58" s="1116"/>
      <c r="N58" s="1116"/>
      <c r="O58" s="1116"/>
      <c r="P58" s="1116"/>
      <c r="Q58" s="1117"/>
    </row>
    <row r="59" spans="2:17">
      <c r="B59" s="543"/>
      <c r="C59" s="1116"/>
      <c r="D59" s="1116"/>
      <c r="E59" s="1116"/>
      <c r="F59" s="1116"/>
      <c r="G59" s="1116"/>
      <c r="H59" s="1116"/>
      <c r="I59" s="1116"/>
      <c r="J59" s="1116"/>
      <c r="K59" s="1116"/>
      <c r="L59" s="1116"/>
      <c r="M59" s="1116"/>
      <c r="N59" s="1116"/>
      <c r="O59" s="1116"/>
      <c r="P59" s="1116"/>
      <c r="Q59" s="1117"/>
    </row>
    <row r="60" spans="2:17">
      <c r="B60" s="539" t="s">
        <v>47</v>
      </c>
      <c r="C60" s="283"/>
      <c r="D60" s="283"/>
      <c r="E60" s="283"/>
      <c r="F60" s="283"/>
      <c r="G60" s="283"/>
      <c r="H60" s="283"/>
      <c r="I60" s="283"/>
      <c r="J60" s="283"/>
      <c r="K60" s="283"/>
      <c r="L60" s="283"/>
      <c r="M60" s="283"/>
      <c r="N60" s="283"/>
      <c r="O60" s="283"/>
      <c r="P60" s="283"/>
      <c r="Q60" s="104"/>
    </row>
    <row r="61" spans="2:17">
      <c r="B61" s="414"/>
      <c r="C61" s="540" t="s">
        <v>48</v>
      </c>
      <c r="D61" s="283"/>
      <c r="E61" s="283"/>
      <c r="F61" s="283"/>
      <c r="G61" s="283"/>
      <c r="H61" s="283"/>
      <c r="I61" s="283"/>
      <c r="J61" s="283"/>
      <c r="K61" s="283"/>
      <c r="L61" s="283"/>
      <c r="M61" s="283"/>
      <c r="N61" s="283"/>
      <c r="O61" s="283"/>
      <c r="P61" s="283"/>
      <c r="Q61" s="104"/>
    </row>
    <row r="62" spans="2:17">
      <c r="B62" s="369"/>
      <c r="C62" s="540" t="s">
        <v>49</v>
      </c>
      <c r="D62" s="283"/>
      <c r="E62" s="283"/>
      <c r="F62" s="283"/>
      <c r="G62" s="283"/>
      <c r="H62" s="283"/>
      <c r="I62" s="283"/>
      <c r="J62" s="283"/>
      <c r="K62" s="283"/>
      <c r="L62" s="283"/>
      <c r="M62" s="283"/>
      <c r="N62" s="283"/>
      <c r="O62" s="283"/>
      <c r="P62" s="283"/>
      <c r="Q62" s="104"/>
    </row>
    <row r="63" spans="2:17" ht="15" thickBot="1">
      <c r="B63" s="544"/>
      <c r="C63" s="1024" t="s">
        <v>50</v>
      </c>
      <c r="D63" s="1025"/>
      <c r="E63" s="1025"/>
      <c r="F63" s="1025"/>
      <c r="G63" s="1025"/>
      <c r="H63" s="1025"/>
      <c r="I63" s="1025"/>
      <c r="J63" s="1025"/>
      <c r="K63" s="1025"/>
      <c r="L63" s="1025"/>
      <c r="M63" s="1025"/>
      <c r="N63" s="1025"/>
      <c r="O63" s="1025"/>
      <c r="P63" s="1025"/>
      <c r="Q63" s="1026"/>
    </row>
  </sheetData>
  <sheetProtection algorithmName="SHA-512" hashValue="/Flx1QGSspzpNvPlYfgPn1F5sfTfIHsAqcdYab7D898LQTHBWd7snoxiX/wVNUOjVUPhreyxX2s163Io3s+mQg==" saltValue="NgyBgToVpR1FHhjV2mwnLw==" spinCount="100000" sheet="1"/>
  <mergeCells count="17">
    <mergeCell ref="K14:Q15"/>
    <mergeCell ref="K16:Q17"/>
    <mergeCell ref="K21:Q22"/>
    <mergeCell ref="C58:Q59"/>
    <mergeCell ref="C52:Q52"/>
    <mergeCell ref="B7:I10"/>
    <mergeCell ref="B40:Q41"/>
    <mergeCell ref="C11:I12"/>
    <mergeCell ref="B13:I16"/>
    <mergeCell ref="B17:I19"/>
    <mergeCell ref="C33:Q33"/>
    <mergeCell ref="B20:I21"/>
    <mergeCell ref="B27:Q28"/>
    <mergeCell ref="C30:Q32"/>
    <mergeCell ref="C34:Q35"/>
    <mergeCell ref="B37:Q38"/>
    <mergeCell ref="K18:Q19"/>
  </mergeCells>
  <dataValidations count="1">
    <dataValidation type="list" allowBlank="1" showInputMessage="1" showErrorMessage="1" sqref="Q7:Q8" xr:uid="{0FEEE4C5-E11F-48BD-92DB-4C16A91507C7}">
      <formula1>"Basic, Advanced"</formula1>
    </dataValidation>
  </dataValidations>
  <pageMargins left="0.7" right="0.7" top="0.75" bottom="0.75" header="0.3" footer="0.3"/>
  <pageSetup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2E14CE-EADE-4F74-9C1B-AE4B44512049}">
  <sheetPr codeName="Sheet10">
    <tabColor theme="1"/>
  </sheetPr>
  <dimension ref="B1:W217"/>
  <sheetViews>
    <sheetView topLeftCell="F1" workbookViewId="0">
      <selection activeCell="R22" sqref="R22"/>
    </sheetView>
  </sheetViews>
  <sheetFormatPr defaultRowHeight="14.45"/>
  <cols>
    <col min="2" max="2" width="14.7109375" customWidth="1"/>
    <col min="3" max="3" width="47.7109375" customWidth="1"/>
    <col min="4" max="4" width="19.140625" customWidth="1"/>
    <col min="5" max="5" width="16.42578125" customWidth="1"/>
    <col min="6" max="6" width="12.140625" bestFit="1" customWidth="1"/>
    <col min="7" max="7" width="10.5703125" customWidth="1"/>
    <col min="8" max="8" width="11.140625" customWidth="1"/>
    <col min="10" max="10" width="8.7109375" style="1"/>
    <col min="12" max="12" width="12.140625" customWidth="1"/>
    <col min="13" max="13" width="48.42578125" customWidth="1"/>
    <col min="14" max="15" width="12.7109375" customWidth="1"/>
    <col min="16" max="16" width="10.5703125" customWidth="1"/>
    <col min="17" max="17" width="10.85546875" customWidth="1"/>
    <col min="18" max="18" width="14.5703125" customWidth="1"/>
    <col min="19" max="19" width="13.42578125" customWidth="1"/>
    <col min="20" max="20" width="12.85546875" customWidth="1"/>
    <col min="21" max="21" width="14.5703125" customWidth="1"/>
    <col min="22" max="23" width="12.85546875" customWidth="1"/>
  </cols>
  <sheetData>
    <row r="1" spans="2:23" ht="15" thickBot="1"/>
    <row r="2" spans="2:23" ht="26.45" thickBot="1">
      <c r="B2" s="3" t="s">
        <v>368</v>
      </c>
      <c r="L2" s="3" t="s">
        <v>369</v>
      </c>
      <c r="Q2" s="108"/>
      <c r="R2" s="1448" t="s">
        <v>265</v>
      </c>
      <c r="S2" s="1449"/>
      <c r="T2" s="1449"/>
      <c r="U2" s="1449"/>
      <c r="V2" s="1449"/>
      <c r="W2" s="1450"/>
    </row>
    <row r="3" spans="2:23" ht="15" thickBot="1">
      <c r="L3" s="22"/>
      <c r="Q3" s="109"/>
      <c r="R3" s="274" t="s">
        <v>270</v>
      </c>
      <c r="S3" s="275" t="s">
        <v>170</v>
      </c>
      <c r="T3" s="275" t="s">
        <v>171</v>
      </c>
      <c r="U3" s="275" t="s">
        <v>172</v>
      </c>
      <c r="V3" s="275" t="s">
        <v>173</v>
      </c>
      <c r="W3" s="276" t="s">
        <v>174</v>
      </c>
    </row>
    <row r="4" spans="2:23" ht="14.45" customHeight="1" thickBot="1">
      <c r="B4" s="1538" t="s">
        <v>241</v>
      </c>
      <c r="C4" s="361" t="s">
        <v>246</v>
      </c>
      <c r="D4" s="362"/>
      <c r="L4" s="1451" t="s">
        <v>511</v>
      </c>
      <c r="M4" s="89"/>
      <c r="N4" s="125" t="s">
        <v>85</v>
      </c>
      <c r="O4" s="124" t="s">
        <v>86</v>
      </c>
      <c r="Q4" s="152" t="s">
        <v>86</v>
      </c>
      <c r="R4" s="517">
        <f>$O$186</f>
        <v>0</v>
      </c>
      <c r="S4" s="518">
        <f>R4+N203</f>
        <v>0</v>
      </c>
      <c r="T4" s="518">
        <f t="shared" ref="T4:V4" si="0">S4+O203</f>
        <v>0</v>
      </c>
      <c r="U4" s="518">
        <f t="shared" si="0"/>
        <v>0</v>
      </c>
      <c r="V4" s="518">
        <f t="shared" si="0"/>
        <v>0</v>
      </c>
      <c r="W4" s="518">
        <f>V4+R203</f>
        <v>0</v>
      </c>
    </row>
    <row r="5" spans="2:23" ht="17.45" customHeight="1" thickBot="1">
      <c r="B5" s="1539"/>
      <c r="C5" s="166" t="s">
        <v>216</v>
      </c>
      <c r="D5" s="328" t="b">
        <f>IF(INSTRUCTIONS!Q8="Advanced", 'Advanced - Principals and APs'!$K$13)</f>
        <v>0</v>
      </c>
      <c r="L5" s="1452"/>
      <c r="M5" t="s">
        <v>512</v>
      </c>
      <c r="N5" s="184">
        <f>$D$5*$E$17</f>
        <v>0</v>
      </c>
      <c r="O5" s="264">
        <f>D5*F17</f>
        <v>0</v>
      </c>
      <c r="Q5" s="90" t="s">
        <v>85</v>
      </c>
      <c r="R5" s="376">
        <f>$N$186</f>
        <v>0</v>
      </c>
      <c r="S5" s="367">
        <f>R5+N217</f>
        <v>0</v>
      </c>
      <c r="T5" s="367">
        <f t="shared" ref="T5:V5" si="1">S5+O217</f>
        <v>0</v>
      </c>
      <c r="U5" s="367">
        <f t="shared" si="1"/>
        <v>0</v>
      </c>
      <c r="V5" s="367">
        <f t="shared" si="1"/>
        <v>0</v>
      </c>
      <c r="W5" s="367">
        <f>V5+R217</f>
        <v>0</v>
      </c>
    </row>
    <row r="6" spans="2:23" ht="17.45" customHeight="1" thickBot="1">
      <c r="B6" s="1539"/>
      <c r="C6" s="166" t="s">
        <v>217</v>
      </c>
      <c r="D6" s="328" t="b">
        <f>IF(INSTRUCTIONS!Q8="Advanced", 'Advanced - Principals and APs'!$K$14)</f>
        <v>0</v>
      </c>
      <c r="L6" s="1458"/>
      <c r="M6" s="97" t="s">
        <v>513</v>
      </c>
      <c r="N6" s="240">
        <f>$D$6*$E$18</f>
        <v>0</v>
      </c>
      <c r="O6" s="240">
        <f>D6*F18</f>
        <v>0</v>
      </c>
      <c r="R6" s="112"/>
      <c r="S6" s="112"/>
      <c r="T6" s="112"/>
      <c r="U6" s="112"/>
      <c r="V6" s="112"/>
      <c r="W6" s="112"/>
    </row>
    <row r="7" spans="2:23" ht="17.45" customHeight="1" thickBot="1">
      <c r="B7" s="1539"/>
      <c r="C7" s="284" t="s">
        <v>247</v>
      </c>
      <c r="D7" s="327"/>
      <c r="L7" s="3"/>
    </row>
    <row r="8" spans="2:23" ht="15.6" customHeight="1" thickBot="1">
      <c r="B8" s="1539"/>
      <c r="C8" s="166" t="s">
        <v>216</v>
      </c>
      <c r="D8" s="328" t="b">
        <f>IF(INSTRUCTIONS!Q8="Advanced", 'Advanced - Principals and APs'!$K$16)</f>
        <v>0</v>
      </c>
      <c r="L8" s="1451" t="s">
        <v>514</v>
      </c>
      <c r="M8" s="89"/>
      <c r="N8" s="125" t="s">
        <v>85</v>
      </c>
      <c r="O8" s="124" t="s">
        <v>86</v>
      </c>
    </row>
    <row r="9" spans="2:23" ht="16.5" customHeight="1">
      <c r="B9" s="1539"/>
      <c r="C9" s="166" t="s">
        <v>217</v>
      </c>
      <c r="D9" s="328" t="b">
        <f>IF(INSTRUCTIONS!Q8="Advanced", 'Advanced - Principals and APs'!$K$17)</f>
        <v>0</v>
      </c>
      <c r="L9" s="1452"/>
      <c r="M9" t="s">
        <v>512</v>
      </c>
      <c r="N9" s="184">
        <f>$D$8*$E$20</f>
        <v>0</v>
      </c>
      <c r="O9" s="264">
        <f>F20*D8</f>
        <v>0</v>
      </c>
    </row>
    <row r="10" spans="2:23" ht="16.5" customHeight="1" thickBot="1">
      <c r="B10" s="1539"/>
      <c r="C10" s="284" t="s">
        <v>248</v>
      </c>
      <c r="D10" s="327"/>
      <c r="L10" s="1458"/>
      <c r="M10" s="97" t="s">
        <v>513</v>
      </c>
      <c r="N10" s="240">
        <f>$D$9*$E$21</f>
        <v>0</v>
      </c>
      <c r="O10" s="240">
        <f>D9*F21</f>
        <v>0</v>
      </c>
    </row>
    <row r="11" spans="2:23" ht="15.95" customHeight="1" thickBot="1">
      <c r="B11" s="1539"/>
      <c r="C11" s="166" t="s">
        <v>216</v>
      </c>
      <c r="D11" s="328" t="b">
        <f>IF(INSTRUCTIONS!Q8="Advanced", 'Advanced - Principals and APs'!$K$19)</f>
        <v>0</v>
      </c>
      <c r="L11" s="3"/>
    </row>
    <row r="12" spans="2:23" ht="17.45" customHeight="1" thickBot="1">
      <c r="B12" s="1540"/>
      <c r="C12" s="161" t="s">
        <v>217</v>
      </c>
      <c r="D12" s="329" t="b">
        <f>IF(INSTRUCTIONS!Q8="Advanced", 'Advanced - Principals and APs'!$K$20)</f>
        <v>0</v>
      </c>
      <c r="L12" s="1451" t="s">
        <v>515</v>
      </c>
      <c r="M12" s="89"/>
      <c r="N12" s="125" t="s">
        <v>85</v>
      </c>
      <c r="O12" s="124" t="s">
        <v>86</v>
      </c>
    </row>
    <row r="13" spans="2:23" ht="15" thickBot="1">
      <c r="L13" s="1452"/>
      <c r="M13" t="s">
        <v>512</v>
      </c>
      <c r="N13" s="184">
        <f>$D$11*$E$23</f>
        <v>0</v>
      </c>
      <c r="O13" s="264">
        <f>F23*D11</f>
        <v>0</v>
      </c>
    </row>
    <row r="14" spans="2:23" ht="15" thickBot="1">
      <c r="B14" s="93"/>
      <c r="C14" s="123"/>
      <c r="D14" s="123"/>
      <c r="E14" s="125" t="s">
        <v>85</v>
      </c>
      <c r="F14" s="125" t="s">
        <v>86</v>
      </c>
      <c r="L14" s="1458"/>
      <c r="M14" s="97" t="s">
        <v>513</v>
      </c>
      <c r="N14" s="240">
        <f>$D$12*$E$24</f>
        <v>0</v>
      </c>
      <c r="O14" s="240">
        <f>D12*F24</f>
        <v>0</v>
      </c>
    </row>
    <row r="15" spans="2:23" ht="29.45" thickBot="1">
      <c r="B15" s="1451" t="s">
        <v>516</v>
      </c>
      <c r="C15" s="1543"/>
      <c r="D15" s="1544"/>
      <c r="E15" s="356" t="s">
        <v>517</v>
      </c>
      <c r="F15" s="224" t="s">
        <v>517</v>
      </c>
    </row>
    <row r="16" spans="2:23" ht="15" thickBot="1">
      <c r="B16" s="1452"/>
      <c r="C16" s="284" t="s">
        <v>246</v>
      </c>
      <c r="D16" s="325"/>
      <c r="E16" s="326"/>
      <c r="F16" s="437"/>
      <c r="L16" s="93"/>
      <c r="M16" s="123"/>
      <c r="N16" s="125" t="s">
        <v>85</v>
      </c>
      <c r="O16" s="124" t="s">
        <v>86</v>
      </c>
    </row>
    <row r="17" spans="2:15" ht="14.45" customHeight="1">
      <c r="B17" s="1452"/>
      <c r="C17" s="1545" t="s">
        <v>216</v>
      </c>
      <c r="D17" s="1546"/>
      <c r="E17" s="357" t="b">
        <f>IF(INSTRUCTIONS!Q8="Advanced", 'Advanced - Principals and APs'!$L$13)</f>
        <v>0</v>
      </c>
      <c r="F17" s="357">
        <f>'Advanced - Principals and APs'!M13</f>
        <v>0</v>
      </c>
      <c r="L17" s="1493" t="s">
        <v>518</v>
      </c>
      <c r="M17" s="47" t="str">
        <f>CONCATENATE("Total # of ",C33," principals")</f>
        <v>Total # of 0 principals</v>
      </c>
      <c r="N17" s="243">
        <f>$D$33*$D$5</f>
        <v>0</v>
      </c>
      <c r="O17" s="243">
        <f>$D$33*$D$5</f>
        <v>0</v>
      </c>
    </row>
    <row r="18" spans="2:15">
      <c r="B18" s="1452"/>
      <c r="C18" s="1545" t="s">
        <v>217</v>
      </c>
      <c r="D18" s="1546"/>
      <c r="E18" s="357" t="b">
        <f>IF(INSTRUCTIONS!Q8="Advanced", 'Advanced - Principals and APs'!$L$14)</f>
        <v>0</v>
      </c>
      <c r="F18" s="357">
        <f>'Advanced - Principals and APs'!M14</f>
        <v>0</v>
      </c>
      <c r="L18" s="1494"/>
      <c r="M18" s="22" t="str">
        <f>CONCATENATE("Total spending on ",C33," principals")</f>
        <v>Total spending on 0 principals</v>
      </c>
      <c r="N18" s="238">
        <f>N17*E33</f>
        <v>0</v>
      </c>
      <c r="O18" s="247">
        <f>O17*$F$33</f>
        <v>0</v>
      </c>
    </row>
    <row r="19" spans="2:15">
      <c r="B19" s="1452"/>
      <c r="C19" s="284" t="s">
        <v>247</v>
      </c>
      <c r="D19" s="325"/>
      <c r="E19" s="358"/>
      <c r="F19" s="326"/>
      <c r="L19" s="1494"/>
      <c r="M19" s="22" t="str">
        <f>CONCATENATE("Total # of ",C34," principals")</f>
        <v>Total # of 0 principals</v>
      </c>
      <c r="N19" s="244">
        <f>$D$34*$D$5</f>
        <v>0</v>
      </c>
      <c r="O19" s="246">
        <f>$D$34*$D$5</f>
        <v>0</v>
      </c>
    </row>
    <row r="20" spans="2:15">
      <c r="B20" s="1452"/>
      <c r="C20" s="1545" t="s">
        <v>216</v>
      </c>
      <c r="D20" s="1546"/>
      <c r="E20" s="357" t="b">
        <f>IF(INSTRUCTIONS!Q8="Advanced", 'Advanced - Principals and APs'!$L$16)</f>
        <v>0</v>
      </c>
      <c r="F20" s="357">
        <f>'Advanced - Principals and APs'!M16</f>
        <v>0</v>
      </c>
      <c r="L20" s="1494"/>
      <c r="M20" s="22" t="str">
        <f>CONCATENATE("Total spending on ",C34," principals")</f>
        <v>Total spending on 0 principals</v>
      </c>
      <c r="N20" s="238">
        <f>N19*E34</f>
        <v>0</v>
      </c>
      <c r="O20" s="247">
        <f>O19*$F$34</f>
        <v>0</v>
      </c>
    </row>
    <row r="21" spans="2:15">
      <c r="B21" s="1452"/>
      <c r="C21" s="1545" t="s">
        <v>217</v>
      </c>
      <c r="D21" s="1546"/>
      <c r="E21" s="357" t="b">
        <f>IF(INSTRUCTIONS!Q8="Advanced", 'Advanced - Principals and APs'!$L$17)</f>
        <v>0</v>
      </c>
      <c r="F21" s="357">
        <f>'Advanced - Principals and APs'!M17</f>
        <v>0</v>
      </c>
      <c r="L21" s="1494"/>
      <c r="M21" s="22" t="str">
        <f>CONCATENATE("Total # of ",$C$35," principals")</f>
        <v>Total # of 0 principals</v>
      </c>
      <c r="N21" s="244">
        <f>$D$35*$D$5</f>
        <v>0</v>
      </c>
      <c r="O21" s="244">
        <f>$D$35*$D$5</f>
        <v>0</v>
      </c>
    </row>
    <row r="22" spans="2:15">
      <c r="B22" s="1452"/>
      <c r="C22" s="284" t="s">
        <v>248</v>
      </c>
      <c r="D22" s="325"/>
      <c r="E22" s="358"/>
      <c r="F22" s="326"/>
      <c r="L22" s="1494"/>
      <c r="M22" s="22" t="str">
        <f>CONCATENATE("Total spending on ",$C$35," principals")</f>
        <v>Total spending on 0 principals</v>
      </c>
      <c r="N22" s="238">
        <f>N21*E35</f>
        <v>0</v>
      </c>
      <c r="O22" s="247">
        <f>O21*$F$35</f>
        <v>0</v>
      </c>
    </row>
    <row r="23" spans="2:15">
      <c r="B23" s="1452"/>
      <c r="C23" s="1545" t="s">
        <v>216</v>
      </c>
      <c r="D23" s="1546"/>
      <c r="E23" s="357" t="b">
        <f>IF(INSTRUCTIONS!Q8="Advanced", 'Advanced - Principals and APs'!$L$19)</f>
        <v>0</v>
      </c>
      <c r="F23" s="357">
        <f>'Advanced - Principals and APs'!M19</f>
        <v>0</v>
      </c>
      <c r="L23" s="1494"/>
      <c r="M23" s="22" t="str">
        <f>CONCATENATE("Total # of ",$C$36," principals")</f>
        <v>Total # of 0 principals</v>
      </c>
      <c r="N23" s="244">
        <f>$D$36*$D$5</f>
        <v>0</v>
      </c>
      <c r="O23" s="246">
        <f>$D$36*$D$5</f>
        <v>0</v>
      </c>
    </row>
    <row r="24" spans="2:15" ht="15" thickBot="1">
      <c r="B24" s="1458"/>
      <c r="C24" s="1541" t="s">
        <v>217</v>
      </c>
      <c r="D24" s="1542"/>
      <c r="E24" s="359" t="b">
        <f>IF(INSTRUCTIONS!Q8="Advanced", 'Advanced - Principals and APs'!$L$20)</f>
        <v>0</v>
      </c>
      <c r="F24" s="357">
        <f>'Advanced - Principals and APs'!M20</f>
        <v>0</v>
      </c>
      <c r="L24" s="1494"/>
      <c r="M24" s="22" t="str">
        <f>CONCATENATE("Total spending on ",$C$36," principals")</f>
        <v>Total spending on 0 principals</v>
      </c>
      <c r="N24" s="238">
        <f>N23*E36</f>
        <v>0</v>
      </c>
      <c r="O24" s="247">
        <f>O23*$F$36</f>
        <v>0</v>
      </c>
    </row>
    <row r="25" spans="2:15">
      <c r="L25" s="1494"/>
      <c r="M25" s="22" t="str">
        <f>CONCATENATE("Total # of ",$C$37," principals")</f>
        <v>Total # of 0 principals</v>
      </c>
      <c r="N25" s="491">
        <f>$D$37*$D$5</f>
        <v>0</v>
      </c>
      <c r="O25" s="491">
        <f>$D$37*$D$5</f>
        <v>0</v>
      </c>
    </row>
    <row r="26" spans="2:15" ht="15" thickBot="1">
      <c r="L26" s="1494"/>
      <c r="M26" s="22" t="str">
        <f>CONCATENATE("Total spending on ",$C$37," principals")</f>
        <v>Total spending on 0 principals</v>
      </c>
      <c r="N26" s="238">
        <f>N25*E37</f>
        <v>0</v>
      </c>
      <c r="O26" s="238">
        <f>O25*F37</f>
        <v>0</v>
      </c>
    </row>
    <row r="27" spans="2:15">
      <c r="B27" s="1516" t="s">
        <v>103</v>
      </c>
      <c r="C27" s="335" t="s">
        <v>477</v>
      </c>
      <c r="D27" s="229" t="b">
        <f>IF(INSTRUCTIONS!Q8="Advanced", 'Advanced - Principals and APs'!$M$23)</f>
        <v>0</v>
      </c>
      <c r="L27" s="1494"/>
      <c r="M27" s="22" t="str">
        <f>CONCATENATE("Total # of ",$C$38," principals")</f>
        <v>Total # of 0 principals</v>
      </c>
      <c r="N27" s="491">
        <f>$D$38*$D$5</f>
        <v>0</v>
      </c>
      <c r="O27" s="491">
        <f>$D$38*$D$5</f>
        <v>0</v>
      </c>
    </row>
    <row r="28" spans="2:15">
      <c r="B28" s="1517"/>
      <c r="C28" s="350" t="s">
        <v>478</v>
      </c>
      <c r="D28" s="42" t="b">
        <f>IF(INSTRUCTIONS!Q8="Advanced", 'Advanced - Principals and APs'!$M$24)</f>
        <v>0</v>
      </c>
      <c r="L28" s="1494"/>
      <c r="M28" s="22" t="str">
        <f>CONCATENATE("Total spending on ",$C$38," principals")</f>
        <v>Total spending on 0 principals</v>
      </c>
      <c r="N28" s="238">
        <f>N27*E38</f>
        <v>0</v>
      </c>
      <c r="O28" s="238">
        <f>O27*F38</f>
        <v>0</v>
      </c>
    </row>
    <row r="29" spans="2:15" ht="15" thickBot="1">
      <c r="B29" s="1518"/>
      <c r="C29" s="336" t="s">
        <v>479</v>
      </c>
      <c r="D29" s="216" t="b">
        <f>IF(INSTRUCTIONS!Q8="Advanced", 'Advanced - Principals and APs'!$V$23)</f>
        <v>0</v>
      </c>
      <c r="L29" s="1494"/>
      <c r="M29" s="22" t="str">
        <f>CONCATENATE("Total # of ",$C$39," principals")</f>
        <v>Total # of 0 principals</v>
      </c>
      <c r="N29" s="491">
        <f>$D$39*$D$5</f>
        <v>0</v>
      </c>
      <c r="O29" s="491">
        <f>$D$39*$D$5</f>
        <v>0</v>
      </c>
    </row>
    <row r="30" spans="2:15" ht="15" thickBot="1">
      <c r="L30" s="1494"/>
      <c r="M30" s="22" t="str">
        <f>CONCATENATE("Total spending on ",$C$39," principals")</f>
        <v>Total spending on 0 principals</v>
      </c>
      <c r="N30" s="238">
        <f>N29*E39</f>
        <v>0</v>
      </c>
      <c r="O30" s="238">
        <f>O29*F39</f>
        <v>0</v>
      </c>
    </row>
    <row r="31" spans="2:15" ht="29.45" customHeight="1" thickBot="1">
      <c r="B31" s="1493" t="s">
        <v>519</v>
      </c>
      <c r="C31" s="217" t="s">
        <v>520</v>
      </c>
      <c r="D31" s="222" t="s">
        <v>82</v>
      </c>
      <c r="E31" s="225" t="s">
        <v>293</v>
      </c>
      <c r="F31" s="224" t="s">
        <v>294</v>
      </c>
      <c r="L31" s="1494"/>
      <c r="M31" s="22" t="str">
        <f>CONCATENATE("Total # of ",$C$40," principals")</f>
        <v>Total # of 0 principals</v>
      </c>
      <c r="N31" s="491">
        <f>$D$40*$D$5</f>
        <v>0</v>
      </c>
      <c r="O31" s="491">
        <f>$D$40*$D$5</f>
        <v>0</v>
      </c>
    </row>
    <row r="32" spans="2:15" ht="15" thickBot="1">
      <c r="B32" s="1494"/>
      <c r="C32" s="108">
        <f>'Basic - Principals and APs'!$J$24</f>
        <v>0</v>
      </c>
      <c r="D32" s="13" t="b">
        <f>IF(INSTRUCTIONS!$Q$8="Advanced", 'Advanced - Principals and APs'!$K$32)</f>
        <v>0</v>
      </c>
      <c r="E32" s="360"/>
      <c r="F32" s="234"/>
      <c r="L32" s="1494"/>
      <c r="M32" s="22" t="str">
        <f>CONCATENATE("Total spending on ",$C$40," principals")</f>
        <v>Total spending on 0 principals</v>
      </c>
      <c r="N32" s="238">
        <f>N31*E40</f>
        <v>0</v>
      </c>
      <c r="O32" s="238">
        <f>O31*F40</f>
        <v>0</v>
      </c>
    </row>
    <row r="33" spans="2:15">
      <c r="B33" s="1494"/>
      <c r="C33" s="493">
        <f>'Basic - Principals and APs'!$J$25</f>
        <v>0</v>
      </c>
      <c r="D33" s="371" t="b">
        <f>IF(INSTRUCTIONS!$Q$8="Advanced", 'Advanced - Principals and APs'!$K$32)</f>
        <v>0</v>
      </c>
      <c r="E33" s="17" t="b">
        <f>IF(INSTRUCTIONS!$Q$8="Advanced", 'Advanced - Principals and APs'!$L$32)</f>
        <v>0</v>
      </c>
      <c r="F33" s="448" t="b">
        <f>IF(INSTRUCTIONS!$Q$8="Advanced", 'Advanced - Principals and APs'!$M$32)</f>
        <v>0</v>
      </c>
      <c r="L33" s="1494"/>
      <c r="M33" s="22" t="str">
        <f>CONCATENATE("Total # of ",$C$41," principals")</f>
        <v>Total # of 0 principals</v>
      </c>
      <c r="N33" s="491">
        <f>$D$41*$D$5</f>
        <v>0</v>
      </c>
      <c r="O33" s="491">
        <f>$D$41*$D$5</f>
        <v>0</v>
      </c>
    </row>
    <row r="34" spans="2:15">
      <c r="B34" s="1494"/>
      <c r="C34" s="4">
        <f>'Basic - Principals and APs'!$J$26</f>
        <v>0</v>
      </c>
      <c r="D34" s="371" t="b">
        <f>IF(INSTRUCTIONS!$Q$8="Advanced", 'Advanced - Principals and APs'!$K$33)</f>
        <v>0</v>
      </c>
      <c r="E34" s="19" t="b">
        <f>IF(INSTRUCTIONS!$Q$8="Advanced", 'Advanced - Principals and APs'!$L$33)</f>
        <v>0</v>
      </c>
      <c r="F34" s="85" t="b">
        <f>IF(INSTRUCTIONS!$Q$8="Advanced", 'Advanced - Principals and APs'!$M$33)</f>
        <v>0</v>
      </c>
      <c r="L34" s="1494"/>
      <c r="M34" s="22" t="str">
        <f>CONCATENATE("Total spending on ",$C$41," principals")</f>
        <v>Total spending on 0 principals</v>
      </c>
      <c r="N34" s="238">
        <f>N33*E41</f>
        <v>0</v>
      </c>
      <c r="O34" s="238">
        <f>O33*F41</f>
        <v>0</v>
      </c>
    </row>
    <row r="35" spans="2:15">
      <c r="B35" s="1494"/>
      <c r="C35" s="118">
        <f>'Basic - Principals and APs'!$J$27</f>
        <v>0</v>
      </c>
      <c r="D35" s="371" t="b">
        <f>IF(INSTRUCTIONS!$Q$8="Advanced", 'Advanced - Principals and APs'!$K$34)</f>
        <v>0</v>
      </c>
      <c r="E35" s="19" t="b">
        <f>IF(INSTRUCTIONS!$Q$8="Advanced", 'Advanced - Principals and APs'!$L$34)</f>
        <v>0</v>
      </c>
      <c r="F35" s="85" t="b">
        <f>IF(INSTRUCTIONS!$Q$8="Advanced", 'Advanced - Principals and APs'!$M$34)</f>
        <v>0</v>
      </c>
      <c r="L35" s="1494"/>
      <c r="M35" s="22" t="s">
        <v>351</v>
      </c>
      <c r="N35" s="244">
        <f>SUM(N17,N19,N21,N23, N25,N27,N29,N31,N33)</f>
        <v>0</v>
      </c>
      <c r="O35" s="244">
        <f>SUM(O17,O19,O21,O23, O25,O27,O29,O31,O33)</f>
        <v>0</v>
      </c>
    </row>
    <row r="36" spans="2:15" ht="15" thickBot="1">
      <c r="B36" s="1494"/>
      <c r="C36" s="4">
        <f>'Basic - Principals and APs'!J28</f>
        <v>0</v>
      </c>
      <c r="D36" s="371" t="b">
        <f>IF(INSTRUCTIONS!$Q$8="Advanced", 'Advanced - Principals and APs'!K35)</f>
        <v>0</v>
      </c>
      <c r="E36" s="19" t="b">
        <f>IF(INSTRUCTIONS!$Q$8="Advanced", 'Advanced - Principals and APs'!L35)</f>
        <v>0</v>
      </c>
      <c r="F36" s="85" t="b">
        <f>IF(INSTRUCTIONS!$Q$8="Advanced", 'Advanced - Principals and APs'!M35)</f>
        <v>0</v>
      </c>
      <c r="L36" s="1495"/>
      <c r="M36" s="48" t="s">
        <v>384</v>
      </c>
      <c r="N36" s="239">
        <f>SUM(N18,N20,N22,N24,N26,N28,N30,N32,N34)</f>
        <v>0</v>
      </c>
      <c r="O36" s="239">
        <f>SUM(O18,O20,O22,O24,O26,O28,O30,O32,O34)</f>
        <v>0</v>
      </c>
    </row>
    <row r="37" spans="2:15" ht="15" thickBot="1">
      <c r="B37" s="1494"/>
      <c r="C37" s="4">
        <f>'Basic - Principals and APs'!J29</f>
        <v>0</v>
      </c>
      <c r="D37" s="371" t="b">
        <f>IF(INSTRUCTIONS!$Q$8="Advanced", 'Advanced - Principals and APs'!K36)</f>
        <v>0</v>
      </c>
      <c r="E37" s="19" t="b">
        <f>IF(INSTRUCTIONS!$Q$8="Advanced", 'Advanced - Principals and APs'!L36)</f>
        <v>0</v>
      </c>
      <c r="F37" s="85" t="b">
        <f>IF(INSTRUCTIONS!$Q$8="Advanced", 'Advanced - Principals and APs'!M36)</f>
        <v>0</v>
      </c>
    </row>
    <row r="38" spans="2:15" ht="15" thickBot="1">
      <c r="B38" s="1494"/>
      <c r="C38" s="4">
        <f>'Basic - Principals and APs'!J30</f>
        <v>0</v>
      </c>
      <c r="D38" s="371" t="b">
        <f>IF(INSTRUCTIONS!$Q$8="Advanced", 'Advanced - Principals and APs'!K37)</f>
        <v>0</v>
      </c>
      <c r="E38" s="19" t="b">
        <f>IF(INSTRUCTIONS!$Q$8="Advanced", 'Advanced - Principals and APs'!L37)</f>
        <v>0</v>
      </c>
      <c r="F38" s="85" t="b">
        <f>IF(INSTRUCTIONS!$Q$8="Advanced", 'Advanced - Principals and APs'!M37)</f>
        <v>0</v>
      </c>
      <c r="L38" s="93"/>
      <c r="M38" s="123"/>
      <c r="N38" s="125" t="s">
        <v>85</v>
      </c>
      <c r="O38" s="124" t="s">
        <v>86</v>
      </c>
    </row>
    <row r="39" spans="2:15" ht="14.45" customHeight="1">
      <c r="B39" s="1494"/>
      <c r="C39" s="4">
        <f>'Basic - Principals and APs'!J31</f>
        <v>0</v>
      </c>
      <c r="D39" s="371" t="b">
        <f>IF(INSTRUCTIONS!$Q$8="Advanced", 'Advanced - Principals and APs'!K38)</f>
        <v>0</v>
      </c>
      <c r="E39" s="19" t="b">
        <f>IF(INSTRUCTIONS!$Q$8="Advanced", 'Advanced - Principals and APs'!L38)</f>
        <v>0</v>
      </c>
      <c r="F39" s="85" t="b">
        <f>IF(INSTRUCTIONS!$Q$8="Advanced", 'Advanced - Principals and APs'!M38)</f>
        <v>0</v>
      </c>
      <c r="L39" s="1493" t="s">
        <v>521</v>
      </c>
      <c r="M39" s="37" t="str">
        <f>CONCATENATE("Total # of ",$C$33," assistant principals")</f>
        <v>Total # of 0 assistant principals</v>
      </c>
      <c r="N39" s="236">
        <f>$D$45*$D$6</f>
        <v>0</v>
      </c>
      <c r="O39" s="236">
        <f>$D$45*$D$6</f>
        <v>0</v>
      </c>
    </row>
    <row r="40" spans="2:15">
      <c r="B40" s="1494"/>
      <c r="C40" s="4">
        <f>'Basic - Principals and APs'!J32</f>
        <v>0</v>
      </c>
      <c r="D40" s="371" t="b">
        <f>IF(INSTRUCTIONS!$Q$8="Advanced", 'Advanced - Principals and APs'!K39)</f>
        <v>0</v>
      </c>
      <c r="E40" s="19" t="b">
        <f>IF(INSTRUCTIONS!$Q$8="Advanced", 'Advanced - Principals and APs'!L39)</f>
        <v>0</v>
      </c>
      <c r="F40" s="85" t="b">
        <f>IF(INSTRUCTIONS!$Q$8="Advanced", 'Advanced - Principals and APs'!M39)</f>
        <v>0</v>
      </c>
      <c r="L40" s="1494"/>
      <c r="M40" s="66" t="str">
        <f>CONCATENATE("Total spending on ",$C$33," assistant principals")</f>
        <v>Total spending on 0 assistant principals</v>
      </c>
      <c r="N40" s="184">
        <f>N39*$E$45</f>
        <v>0</v>
      </c>
      <c r="O40" s="254">
        <f>O39*$F$45</f>
        <v>0</v>
      </c>
    </row>
    <row r="41" spans="2:15" ht="15" thickBot="1">
      <c r="B41" s="1495"/>
      <c r="C41" s="109">
        <f>'Basic - Principals and APs'!J33</f>
        <v>0</v>
      </c>
      <c r="D41" s="374" t="b">
        <f>IF(INSTRUCTIONS!$Q$8="Advanced", 'Advanced - Principals and APs'!K40)</f>
        <v>0</v>
      </c>
      <c r="E41" s="18" t="b">
        <f>IF(INSTRUCTIONS!$Q$8="Advanced", 'Advanced - Principals and APs'!L40)</f>
        <v>0</v>
      </c>
      <c r="F41" s="87" t="b">
        <f>IF(INSTRUCTIONS!$Q$8="Advanced", 'Advanced - Principals and APs'!M40)</f>
        <v>0</v>
      </c>
      <c r="L41" s="1494"/>
      <c r="M41" s="66" t="str">
        <f>CONCATENATE("Total # of ",$C$34," assistant principals")</f>
        <v>Total # of 0 assistant principals</v>
      </c>
      <c r="N41" s="237">
        <f>$D$46*$D$6</f>
        <v>0</v>
      </c>
      <c r="O41" s="237">
        <f>$D$46*$D$6</f>
        <v>0</v>
      </c>
    </row>
    <row r="42" spans="2:15" ht="15" thickBot="1">
      <c r="L42" s="1494"/>
      <c r="M42" s="66" t="str">
        <f>CONCATENATE("Total spending on ",$C$34," assistant principals")</f>
        <v>Total spending on 0 assistant principals</v>
      </c>
      <c r="N42" s="184">
        <f>N41*$E$46</f>
        <v>0</v>
      </c>
      <c r="O42" s="254">
        <f>O41*$F$46</f>
        <v>0</v>
      </c>
    </row>
    <row r="43" spans="2:15" ht="29.45" customHeight="1" thickBot="1">
      <c r="B43" s="1493" t="s">
        <v>522</v>
      </c>
      <c r="C43" s="217" t="s">
        <v>520</v>
      </c>
      <c r="D43" s="222" t="s">
        <v>82</v>
      </c>
      <c r="E43" s="224" t="s">
        <v>293</v>
      </c>
      <c r="F43" s="223" t="s">
        <v>294</v>
      </c>
      <c r="L43" s="1494"/>
      <c r="M43" s="66" t="str">
        <f>CONCATENATE("Total # of ",$C$35," assistant principals")</f>
        <v>Total # of 0 assistant principals</v>
      </c>
      <c r="N43" s="237">
        <f>$D$47*$D$6</f>
        <v>0</v>
      </c>
      <c r="O43" s="237">
        <f>$D$47*$D$6</f>
        <v>0</v>
      </c>
    </row>
    <row r="44" spans="2:15" ht="15" thickBot="1">
      <c r="B44" s="1494"/>
      <c r="C44" s="108">
        <f>'Basic - Principals and APs'!$J$24</f>
        <v>0</v>
      </c>
      <c r="D44" s="494" t="b">
        <f>IF(INSTRUCTIONS!$Q$8="Advanced", 'Advanced - Principals and APs'!$N$31)</f>
        <v>0</v>
      </c>
      <c r="E44" s="495"/>
      <c r="F44" s="485"/>
      <c r="L44" s="1494"/>
      <c r="M44" s="66" t="str">
        <f>CONCATENATE("Total spending on ",$C$35," assistant principals")</f>
        <v>Total spending on 0 assistant principals</v>
      </c>
      <c r="N44" s="184">
        <f>N43*$E$47</f>
        <v>0</v>
      </c>
      <c r="O44" s="254">
        <f>O43*$F$47</f>
        <v>0</v>
      </c>
    </row>
    <row r="45" spans="2:15">
      <c r="B45" s="1494"/>
      <c r="C45" s="493">
        <f>'Basic - Principals and APs'!$J$25</f>
        <v>0</v>
      </c>
      <c r="D45" s="249" t="b">
        <f>IF(INSTRUCTIONS!$Q$8="Advanced", 'Advanced - Principals and APs'!$N$32)</f>
        <v>0</v>
      </c>
      <c r="E45" s="251" t="b">
        <f>IF(INSTRUCTIONS!$Q$8="Advanced", 'Advanced - Principals and APs'!$O$32)</f>
        <v>0</v>
      </c>
      <c r="F45" s="490" t="b">
        <f>IF(INSTRUCTIONS!$Q$8="Advanced", 'Advanced - Principals and APs'!$P$32)</f>
        <v>0</v>
      </c>
      <c r="L45" s="1494"/>
      <c r="M45" s="66" t="str">
        <f>CONCATENATE("Total # of ",$C$36," assistant principals")</f>
        <v>Total # of 0 assistant principals</v>
      </c>
      <c r="N45" s="237">
        <f>$D$48*$D$6</f>
        <v>0</v>
      </c>
      <c r="O45" s="237">
        <f>$D$46*$D$5</f>
        <v>0</v>
      </c>
    </row>
    <row r="46" spans="2:15">
      <c r="B46" s="1494"/>
      <c r="C46" s="4">
        <f>'Basic - Principals and APs'!$J$26</f>
        <v>0</v>
      </c>
      <c r="D46" s="249" t="b">
        <f>IF(INSTRUCTIONS!$Q$8="Advanced", 'Advanced - Principals and APs'!$N$33)</f>
        <v>0</v>
      </c>
      <c r="E46" s="252" t="b">
        <f>IF(INSTRUCTIONS!$Q$8="Advanced", 'Advanced - Principals and APs'!$O$33)</f>
        <v>0</v>
      </c>
      <c r="F46" s="487" t="b">
        <f>IF(INSTRUCTIONS!$Q$8="Advanced", 'Advanced - Principals and APs'!$P$33)</f>
        <v>0</v>
      </c>
      <c r="L46" s="1494"/>
      <c r="M46" s="66" t="str">
        <f>CONCATENATE("Total spending on ",$C$36," assistant principals")</f>
        <v>Total spending on 0 assistant principals</v>
      </c>
      <c r="N46" s="184">
        <f>N45*$E$48</f>
        <v>0</v>
      </c>
      <c r="O46" s="254">
        <f>O45*$F$48</f>
        <v>0</v>
      </c>
    </row>
    <row r="47" spans="2:15">
      <c r="B47" s="1494"/>
      <c r="C47" s="118">
        <f>'Basic - Principals and APs'!$J$27</f>
        <v>0</v>
      </c>
      <c r="D47" s="249" t="b">
        <f>IF(INSTRUCTIONS!$Q$8="Advanced", 'Advanced - Principals and APs'!$N$34)</f>
        <v>0</v>
      </c>
      <c r="E47" s="252" t="b">
        <f>IF(INSTRUCTIONS!$Q$8="Advanced", 'Advanced - Principals and APs'!$O$34)</f>
        <v>0</v>
      </c>
      <c r="F47" s="487" t="b">
        <f>IF(INSTRUCTIONS!$Q$8="Advanced", 'Advanced - Principals and APs'!$P$34)</f>
        <v>0</v>
      </c>
      <c r="L47" s="1494"/>
      <c r="M47" s="22" t="str">
        <f>CONCATENATE("Total # of ",$C$37," principals")</f>
        <v>Total # of 0 principals</v>
      </c>
      <c r="N47" s="237">
        <f>$D$49*$D$6</f>
        <v>0</v>
      </c>
      <c r="O47" s="237">
        <f>$D$49*$D$6</f>
        <v>0</v>
      </c>
    </row>
    <row r="48" spans="2:15">
      <c r="B48" s="1494"/>
      <c r="C48" s="4">
        <f>'Basic - Principals and APs'!J28</f>
        <v>0</v>
      </c>
      <c r="D48" s="249" t="b">
        <f>IF(INSTRUCTIONS!$Q$8="Advanced", 'Advanced - Principals and APs'!N35)</f>
        <v>0</v>
      </c>
      <c r="E48" s="252" t="b">
        <f>IF(INSTRUCTIONS!$Q$8="Advanced", 'Advanced - Principals and APs'!O35)</f>
        <v>0</v>
      </c>
      <c r="F48" s="487" t="b">
        <f>IF(INSTRUCTIONS!$Q$8="Advanced", 'Advanced - Principals and APs'!P35)</f>
        <v>0</v>
      </c>
      <c r="L48" s="1494"/>
      <c r="M48" s="22" t="str">
        <f>CONCATENATE("Total spending on ",$C$37," principals")</f>
        <v>Total spending on 0 principals</v>
      </c>
      <c r="N48" s="184">
        <f>N47*E49</f>
        <v>0</v>
      </c>
      <c r="O48" s="184">
        <f>O47*F49</f>
        <v>0</v>
      </c>
    </row>
    <row r="49" spans="2:15">
      <c r="B49" s="1494"/>
      <c r="C49" s="4">
        <f>'Basic - Principals and APs'!J29</f>
        <v>0</v>
      </c>
      <c r="D49" s="249" t="b">
        <f>IF(INSTRUCTIONS!$Q$8="Advanced", 'Advanced - Principals and APs'!N36)</f>
        <v>0</v>
      </c>
      <c r="E49" s="252" t="b">
        <f>IF(INSTRUCTIONS!$Q$8="Advanced", 'Advanced - Principals and APs'!O36)</f>
        <v>0</v>
      </c>
      <c r="F49" s="487" t="b">
        <f>IF(INSTRUCTIONS!$Q$8="Advanced", 'Advanced - Principals and APs'!P36)</f>
        <v>0</v>
      </c>
      <c r="L49" s="1494"/>
      <c r="M49" s="22" t="str">
        <f>CONCATENATE("Total # of ",$C$38," principals")</f>
        <v>Total # of 0 principals</v>
      </c>
      <c r="N49" s="237">
        <f>$D$50*$D$6</f>
        <v>0</v>
      </c>
      <c r="O49" s="237">
        <f>$D$50*$D$6</f>
        <v>0</v>
      </c>
    </row>
    <row r="50" spans="2:15">
      <c r="B50" s="1494"/>
      <c r="C50" s="4">
        <f>'Basic - Principals and APs'!J30</f>
        <v>0</v>
      </c>
      <c r="D50" s="249" t="b">
        <f>IF(INSTRUCTIONS!$Q$8="Advanced", 'Advanced - Principals and APs'!N37)</f>
        <v>0</v>
      </c>
      <c r="E50" s="252" t="b">
        <f>IF(INSTRUCTIONS!$Q$8="Advanced", 'Advanced - Principals and APs'!O37)</f>
        <v>0</v>
      </c>
      <c r="F50" s="487" t="b">
        <f>IF(INSTRUCTIONS!$Q$8="Advanced", 'Advanced - Principals and APs'!P37)</f>
        <v>0</v>
      </c>
      <c r="L50" s="1494"/>
      <c r="M50" s="22" t="str">
        <f>CONCATENATE("Total spending on ",$C$38," principals")</f>
        <v>Total spending on 0 principals</v>
      </c>
      <c r="N50" s="184">
        <f>N49*E50</f>
        <v>0</v>
      </c>
      <c r="O50" s="184">
        <f>O49*F50</f>
        <v>0</v>
      </c>
    </row>
    <row r="51" spans="2:15">
      <c r="B51" s="1494"/>
      <c r="C51" s="4">
        <f>'Basic - Principals and APs'!J31</f>
        <v>0</v>
      </c>
      <c r="D51" s="249" t="b">
        <f>IF(INSTRUCTIONS!$Q$8="Advanced", 'Advanced - Principals and APs'!N38)</f>
        <v>0</v>
      </c>
      <c r="E51" s="252" t="b">
        <f>IF(INSTRUCTIONS!$Q$8="Advanced", 'Advanced - Principals and APs'!O38)</f>
        <v>0</v>
      </c>
      <c r="F51" s="487" t="b">
        <f>IF(INSTRUCTIONS!$Q$8="Advanced", 'Advanced - Principals and APs'!P38)</f>
        <v>0</v>
      </c>
      <c r="L51" s="1494"/>
      <c r="M51" s="22" t="str">
        <f>CONCATENATE("Total # of ",$C$39," principals")</f>
        <v>Total # of 0 principals</v>
      </c>
      <c r="N51" s="237">
        <f>$D$51*$D$6</f>
        <v>0</v>
      </c>
      <c r="O51" s="237">
        <f>$D$51*$D$6</f>
        <v>0</v>
      </c>
    </row>
    <row r="52" spans="2:15">
      <c r="B52" s="1494"/>
      <c r="C52" s="4">
        <f>'Basic - Principals and APs'!J32</f>
        <v>0</v>
      </c>
      <c r="D52" s="249" t="b">
        <f>IF(INSTRUCTIONS!$Q$8="Advanced", 'Advanced - Principals and APs'!N39)</f>
        <v>0</v>
      </c>
      <c r="E52" s="252" t="b">
        <f>IF(INSTRUCTIONS!$Q$8="Advanced", 'Advanced - Principals and APs'!O39)</f>
        <v>0</v>
      </c>
      <c r="F52" s="487" t="b">
        <f>IF(INSTRUCTIONS!$Q$8="Advanced", 'Advanced - Principals and APs'!P39)</f>
        <v>0</v>
      </c>
      <c r="L52" s="1494"/>
      <c r="M52" s="22" t="str">
        <f>CONCATENATE("Total spending on ",$C$39," principals")</f>
        <v>Total spending on 0 principals</v>
      </c>
      <c r="N52" s="184">
        <f>N51*E51</f>
        <v>0</v>
      </c>
      <c r="O52" s="184">
        <f>O51*F51</f>
        <v>0</v>
      </c>
    </row>
    <row r="53" spans="2:15" ht="15" thickBot="1">
      <c r="B53" s="1495"/>
      <c r="C53" s="109">
        <f>'Basic - Principals and APs'!J33</f>
        <v>0</v>
      </c>
      <c r="D53" s="250" t="b">
        <f>IF(INSTRUCTIONS!$Q$8="Advanced", 'Advanced - Principals and APs'!N40)</f>
        <v>0</v>
      </c>
      <c r="E53" s="253" t="b">
        <f>IF(INSTRUCTIONS!$Q$8="Advanced", 'Advanced - Principals and APs'!O40)</f>
        <v>0</v>
      </c>
      <c r="F53" s="484" t="b">
        <f>IF(INSTRUCTIONS!$Q$8="Advanced", 'Advanced - Principals and APs'!P40)</f>
        <v>0</v>
      </c>
      <c r="L53" s="1494"/>
      <c r="M53" s="22" t="str">
        <f>CONCATENATE("Total # of ",$C$40," principals")</f>
        <v>Total # of 0 principals</v>
      </c>
      <c r="N53" s="237">
        <f>$D$52*$D$6</f>
        <v>0</v>
      </c>
      <c r="O53" s="237">
        <f>$D$52*$D$6</f>
        <v>0</v>
      </c>
    </row>
    <row r="54" spans="2:15" ht="15" thickBot="1">
      <c r="L54" s="1494"/>
      <c r="M54" s="22" t="str">
        <f>CONCATENATE("Total spending on ",$C$40," principals")</f>
        <v>Total spending on 0 principals</v>
      </c>
      <c r="N54" s="184">
        <f>N53*E52</f>
        <v>0</v>
      </c>
      <c r="O54" s="184">
        <f>O53*F52</f>
        <v>0</v>
      </c>
    </row>
    <row r="55" spans="2:15" ht="29.45" thickBot="1">
      <c r="B55" s="1493" t="s">
        <v>523</v>
      </c>
      <c r="C55" s="217" t="s">
        <v>524</v>
      </c>
      <c r="D55" s="222" t="s">
        <v>82</v>
      </c>
      <c r="E55" s="225" t="s">
        <v>293</v>
      </c>
      <c r="F55" s="224" t="s">
        <v>294</v>
      </c>
      <c r="L55" s="1494"/>
      <c r="M55" s="22" t="str">
        <f>CONCATENATE("Total # of ",$C$41," principals")</f>
        <v>Total # of 0 principals</v>
      </c>
      <c r="N55" s="237">
        <f>$D$53*$D$6</f>
        <v>0</v>
      </c>
      <c r="O55" s="237">
        <f>$D$53*$D$6</f>
        <v>0</v>
      </c>
    </row>
    <row r="56" spans="2:15" ht="15" thickBot="1">
      <c r="B56" s="1494"/>
      <c r="C56" s="10">
        <f>'Basic - Principals and APs'!$J$24</f>
        <v>0</v>
      </c>
      <c r="D56" s="230" t="b">
        <f>IF(INSTRUCTIONS!$Q$8="Advanced", 'Advanced - Principals and APs'!$K$48)</f>
        <v>0</v>
      </c>
      <c r="E56" s="233"/>
      <c r="F56" s="234"/>
      <c r="L56" s="1494"/>
      <c r="M56" s="22" t="str">
        <f>CONCATENATE("Total spending on ",$C$41," principals")</f>
        <v>Total spending on 0 principals</v>
      </c>
      <c r="N56" s="184">
        <f>N55*E53</f>
        <v>0</v>
      </c>
      <c r="O56" s="184">
        <f>O55*F53</f>
        <v>0</v>
      </c>
    </row>
    <row r="57" spans="2:15">
      <c r="B57" s="1494"/>
      <c r="C57" s="486">
        <f>'Basic - Principals and APs'!$J$25</f>
        <v>0</v>
      </c>
      <c r="D57" s="231" t="b">
        <f>IF(INSTRUCTIONS!$Q$8="Advanced", 'Advanced - Principals and APs'!$K$48)</f>
        <v>0</v>
      </c>
      <c r="E57" s="17" t="b">
        <f>IF(INSTRUCTIONS!$Q$8="Advanced", 'Advanced - Principals and APs'!$L$48)</f>
        <v>0</v>
      </c>
      <c r="F57" s="448" t="b">
        <f>IF(INSTRUCTIONS!$Q$8="Advanced", 'Advanced - Principals and APs'!$M$64)</f>
        <v>0</v>
      </c>
      <c r="L57" s="1494"/>
      <c r="M57" s="66" t="s">
        <v>351</v>
      </c>
      <c r="N57" s="237">
        <f>SUM(N39,N41,N43,N45,N47,N49,N51,N53,N55)</f>
        <v>0</v>
      </c>
      <c r="O57" s="237">
        <f>SUM(O39,O41,O43,O45,O47,O49,O51,O53,O55)</f>
        <v>0</v>
      </c>
    </row>
    <row r="58" spans="2:15" ht="15" thickBot="1">
      <c r="B58" s="1494"/>
      <c r="C58" s="100">
        <f>'Basic - Principals and APs'!$J$26</f>
        <v>0</v>
      </c>
      <c r="D58" s="231" t="b">
        <f>IF(INSTRUCTIONS!$Q$8="Advanced", 'Advanced - Principals and APs'!$K$49)</f>
        <v>0</v>
      </c>
      <c r="E58" s="19" t="b">
        <f>IF(INSTRUCTIONS!$Q$8="Advanced", 'Advanced - Principals and APs'!$L$49)</f>
        <v>0</v>
      </c>
      <c r="F58" s="85" t="b">
        <f>IF(INSTRUCTIONS!$Q$8="Advanced", 'Advanced - Principals and APs'!$M$65)</f>
        <v>0</v>
      </c>
      <c r="L58" s="1495"/>
      <c r="M58" s="146" t="s">
        <v>395</v>
      </c>
      <c r="N58" s="239">
        <f>SUM(N40,N42,N44,N46,N48,N50,N52,N54,N56)</f>
        <v>0</v>
      </c>
      <c r="O58" s="239">
        <f>SUM(O40,O42,O44,O46,O48,O50,O52,O54,O56)</f>
        <v>0</v>
      </c>
    </row>
    <row r="59" spans="2:15" ht="15" thickBot="1">
      <c r="B59" s="1494"/>
      <c r="C59" s="475">
        <f>'Basic - Principals and APs'!$J$27</f>
        <v>0</v>
      </c>
      <c r="D59" s="231" t="b">
        <f>IF(INSTRUCTIONS!$Q$8="Advanced", 'Advanced - Principals and APs'!$K$50)</f>
        <v>0</v>
      </c>
      <c r="E59" s="19" t="b">
        <f>IF(INSTRUCTIONS!$Q$8="Advanced", 'Advanced - Principals and APs'!$L$50)</f>
        <v>0</v>
      </c>
      <c r="F59" s="85" t="b">
        <f>IF(INSTRUCTIONS!$Q$8="Advanced", 'Advanced - Principals and APs'!$M$66)</f>
        <v>0</v>
      </c>
    </row>
    <row r="60" spans="2:15" ht="15" thickBot="1">
      <c r="B60" s="1494"/>
      <c r="C60" s="100">
        <f>'Basic - Principals and APs'!J28</f>
        <v>0</v>
      </c>
      <c r="D60" s="231" t="b">
        <f>IF(INSTRUCTIONS!$Q$8="Advanced", 'Advanced - Principals and APs'!K51)</f>
        <v>0</v>
      </c>
      <c r="E60" s="19" t="b">
        <f>IF(INSTRUCTIONS!$Q$8="Advanced", 'Advanced - Principals and APs'!L51)</f>
        <v>0</v>
      </c>
      <c r="F60" s="85" t="b">
        <f>IF(INSTRUCTIONS!$Q$8="Advanced", 'Advanced - Principals and APs'!M67)</f>
        <v>0</v>
      </c>
      <c r="L60" s="93"/>
      <c r="M60" s="123"/>
      <c r="N60" s="125" t="s">
        <v>85</v>
      </c>
      <c r="O60" s="124" t="s">
        <v>86</v>
      </c>
    </row>
    <row r="61" spans="2:15" ht="14.45" customHeight="1">
      <c r="B61" s="1494"/>
      <c r="C61" s="100">
        <f>'Basic - Principals and APs'!J29</f>
        <v>0</v>
      </c>
      <c r="D61" s="231" t="b">
        <f>IF(INSTRUCTIONS!$Q$8="Advanced", 'Advanced - Principals and APs'!K52)</f>
        <v>0</v>
      </c>
      <c r="E61" s="19" t="b">
        <f>IF(INSTRUCTIONS!$Q$8="Advanced", 'Advanced - Principals and APs'!L52)</f>
        <v>0</v>
      </c>
      <c r="F61" s="85" t="b">
        <f>IF(INSTRUCTIONS!$Q$8="Advanced", 'Advanced - Principals and APs'!M68)</f>
        <v>0</v>
      </c>
      <c r="L61" s="1493" t="s">
        <v>525</v>
      </c>
      <c r="M61" s="47" t="str">
        <f>CONCATENATE("Total # of ",$C$33," principals")</f>
        <v>Total # of 0 principals</v>
      </c>
      <c r="N61" s="243">
        <f>$D$57*$D$8</f>
        <v>0</v>
      </c>
      <c r="O61" s="243">
        <f>$D$57*$D$8</f>
        <v>0</v>
      </c>
    </row>
    <row r="62" spans="2:15">
      <c r="B62" s="1494"/>
      <c r="C62" s="100">
        <f>'Basic - Principals and APs'!J30</f>
        <v>0</v>
      </c>
      <c r="D62" s="231" t="b">
        <f>IF(INSTRUCTIONS!$Q$8="Advanced", 'Advanced - Principals and APs'!K53)</f>
        <v>0</v>
      </c>
      <c r="E62" s="19" t="b">
        <f>IF(INSTRUCTIONS!$Q$8="Advanced", 'Advanced - Principals and APs'!L53)</f>
        <v>0</v>
      </c>
      <c r="F62" s="85" t="b">
        <f>IF(INSTRUCTIONS!$Q$8="Advanced", 'Advanced - Principals and APs'!M69)</f>
        <v>0</v>
      </c>
      <c r="L62" s="1494"/>
      <c r="M62" s="22" t="str">
        <f>CONCATENATE("Total spending on ",$C$33," principals")</f>
        <v>Total spending on 0 principals</v>
      </c>
      <c r="N62" s="238">
        <f>N61*$E$57</f>
        <v>0</v>
      </c>
      <c r="O62" s="247">
        <f>O61*$F$57</f>
        <v>0</v>
      </c>
    </row>
    <row r="63" spans="2:15">
      <c r="B63" s="1494"/>
      <c r="C63" s="100">
        <f>'Basic - Principals and APs'!J31</f>
        <v>0</v>
      </c>
      <c r="D63" s="231" t="b">
        <f>IF(INSTRUCTIONS!$Q$8="Advanced", 'Advanced - Principals and APs'!K54)</f>
        <v>0</v>
      </c>
      <c r="E63" s="19" t="b">
        <f>IF(INSTRUCTIONS!$Q$8="Advanced", 'Advanced - Principals and APs'!L54)</f>
        <v>0</v>
      </c>
      <c r="F63" s="85" t="b">
        <f>IF(INSTRUCTIONS!$Q$8="Advanced", 'Advanced - Principals and APs'!M70)</f>
        <v>0</v>
      </c>
      <c r="L63" s="1494"/>
      <c r="M63" s="22" t="str">
        <f>CONCATENATE("Total # of ",$C$34," principals")</f>
        <v>Total # of 0 principals</v>
      </c>
      <c r="N63" s="244">
        <f>$D$58*$D$8</f>
        <v>0</v>
      </c>
      <c r="O63" s="244">
        <f>$D$58*$D$8</f>
        <v>0</v>
      </c>
    </row>
    <row r="64" spans="2:15">
      <c r="B64" s="1494"/>
      <c r="C64" s="100">
        <f>'Basic - Principals and APs'!J32</f>
        <v>0</v>
      </c>
      <c r="D64" s="231" t="b">
        <f>IF(INSTRUCTIONS!$Q$8="Advanced", 'Advanced - Principals and APs'!K55)</f>
        <v>0</v>
      </c>
      <c r="E64" s="19" t="b">
        <f>IF(INSTRUCTIONS!$Q$8="Advanced", 'Advanced - Principals and APs'!L55)</f>
        <v>0</v>
      </c>
      <c r="F64" s="85" t="b">
        <f>IF(INSTRUCTIONS!$Q$8="Advanced", 'Advanced - Principals and APs'!M71)</f>
        <v>0</v>
      </c>
      <c r="L64" s="1494"/>
      <c r="M64" s="22" t="str">
        <f>CONCATENATE("Total spending on ",$C$34," principals")</f>
        <v>Total spending on 0 principals</v>
      </c>
      <c r="N64" s="238">
        <f>N63*$E$58</f>
        <v>0</v>
      </c>
      <c r="O64" s="247">
        <f>O63*$F$58</f>
        <v>0</v>
      </c>
    </row>
    <row r="65" spans="2:15" ht="29.45" customHeight="1" thickBot="1">
      <c r="B65" s="1495"/>
      <c r="C65" s="11">
        <f>'Basic - Principals and APs'!J33</f>
        <v>0</v>
      </c>
      <c r="D65" s="232" t="b">
        <f>IF(INSTRUCTIONS!$Q$8="Advanced", 'Advanced - Principals and APs'!K56)</f>
        <v>0</v>
      </c>
      <c r="E65" s="18" t="b">
        <f>IF(INSTRUCTIONS!$Q$8="Advanced", 'Advanced - Principals and APs'!L56)</f>
        <v>0</v>
      </c>
      <c r="F65" s="87" t="b">
        <f>IF(INSTRUCTIONS!$Q$8="Advanced", 'Advanced - Principals and APs'!M72)</f>
        <v>0</v>
      </c>
      <c r="L65" s="1494"/>
      <c r="M65" s="22" t="str">
        <f>CONCATENATE("Total # of ",$C$35," principals")</f>
        <v>Total # of 0 principals</v>
      </c>
      <c r="N65" s="244">
        <f>$D$59*$D$8</f>
        <v>0</v>
      </c>
      <c r="O65" s="244">
        <f>$D$59*$D$8</f>
        <v>0</v>
      </c>
    </row>
    <row r="66" spans="2:15" ht="15" thickBot="1">
      <c r="L66" s="1494"/>
      <c r="M66" s="22" t="str">
        <f>CONCATENATE("Total spending on ",$C$35," principals")</f>
        <v>Total spending on 0 principals</v>
      </c>
      <c r="N66" s="238">
        <f>N65*$E$59</f>
        <v>0</v>
      </c>
      <c r="O66" s="247">
        <f>O65*$F$59</f>
        <v>0</v>
      </c>
    </row>
    <row r="67" spans="2:15" ht="29.45" customHeight="1" thickBot="1">
      <c r="B67" s="1493" t="s">
        <v>526</v>
      </c>
      <c r="C67" s="217" t="s">
        <v>524</v>
      </c>
      <c r="D67" s="222" t="s">
        <v>82</v>
      </c>
      <c r="E67" s="224" t="s">
        <v>293</v>
      </c>
      <c r="F67" s="223" t="s">
        <v>294</v>
      </c>
      <c r="L67" s="1494"/>
      <c r="M67" s="22" t="str">
        <f>CONCATENATE("Total # of ",$C$36," principals")</f>
        <v>Total # of 0 principals</v>
      </c>
      <c r="N67" s="244">
        <f>$D$60*$D$8</f>
        <v>0</v>
      </c>
      <c r="O67" s="244">
        <f>$D$60*$D$8</f>
        <v>0</v>
      </c>
    </row>
    <row r="68" spans="2:15" ht="15" thickBot="1">
      <c r="B68" s="1494"/>
      <c r="C68" s="10">
        <f>'Basic - Principals and APs'!$J$24</f>
        <v>0</v>
      </c>
      <c r="D68" s="248" t="b">
        <f>IF(INSTRUCTIONS!$Q$8="Advanced", 'Advanced - Principals and APs'!$N$47)</f>
        <v>0</v>
      </c>
      <c r="E68" s="495"/>
      <c r="F68" s="485"/>
      <c r="L68" s="1494"/>
      <c r="M68" s="22" t="str">
        <f>CONCATENATE("Total spending on ",$C$36," principals")</f>
        <v>Total spending on 0 principals</v>
      </c>
      <c r="N68" s="238">
        <f>N67*$E$60</f>
        <v>0</v>
      </c>
      <c r="O68" s="247">
        <f>O67*$F$60</f>
        <v>0</v>
      </c>
    </row>
    <row r="69" spans="2:15">
      <c r="B69" s="1494"/>
      <c r="C69" s="486">
        <f>'Basic - Principals and APs'!$J$25</f>
        <v>0</v>
      </c>
      <c r="D69" s="488" t="b">
        <f>IF(INSTRUCTIONS!$Q$8="Advanced", 'Advanced - Principals and APs'!$N$48)</f>
        <v>0</v>
      </c>
      <c r="E69" s="251" t="b">
        <f>IF(INSTRUCTIONS!$Q$8="Advanced", 'Advanced - Principals and APs'!$O$48)</f>
        <v>0</v>
      </c>
      <c r="F69" s="490" t="b">
        <f>IF(INSTRUCTIONS!$Q$8="Advanced", 'Advanced - Principals and APs'!$P$48)</f>
        <v>0</v>
      </c>
      <c r="L69" s="1494"/>
      <c r="M69" s="22" t="str">
        <f>CONCATENATE("Total # of ",$C$37," principals")</f>
        <v>Total # of 0 principals</v>
      </c>
      <c r="N69" s="491">
        <f>$D$61*$D$8</f>
        <v>0</v>
      </c>
      <c r="O69" s="491">
        <f>$D$61*$D$8</f>
        <v>0</v>
      </c>
    </row>
    <row r="70" spans="2:15">
      <c r="B70" s="1494"/>
      <c r="C70" s="100">
        <f>'Basic - Principals and APs'!$J$26</f>
        <v>0</v>
      </c>
      <c r="D70" s="488" t="b">
        <f>IF(INSTRUCTIONS!$Q$8="Advanced", 'Advanced - Principals and APs'!$N$49)</f>
        <v>0</v>
      </c>
      <c r="E70" s="252" t="b">
        <f>IF(INSTRUCTIONS!$Q$8="Advanced", 'Advanced - Principals and APs'!$O$49)</f>
        <v>0</v>
      </c>
      <c r="F70" s="487" t="b">
        <f>IF(INSTRUCTIONS!$Q$8="Advanced", 'Advanced - Principals and APs'!$P$49)</f>
        <v>0</v>
      </c>
      <c r="L70" s="1494"/>
      <c r="M70" s="22" t="str">
        <f>CONCATENATE("Total spending on ",$C$37," principals")</f>
        <v>Total spending on 0 principals</v>
      </c>
      <c r="N70" s="238">
        <f>N69*E73</f>
        <v>0</v>
      </c>
      <c r="O70" s="238">
        <f>O69*F73</f>
        <v>0</v>
      </c>
    </row>
    <row r="71" spans="2:15">
      <c r="B71" s="1494"/>
      <c r="C71" s="475">
        <f>'Basic - Principals and APs'!$J$27</f>
        <v>0</v>
      </c>
      <c r="D71" s="488" t="b">
        <f>IF(INSTRUCTIONS!$Q$8="Advanced", 'Advanced - Principals and APs'!$N$50)</f>
        <v>0</v>
      </c>
      <c r="E71" s="252" t="b">
        <f>IF(INSTRUCTIONS!$Q$8="Advanced", 'Advanced - Principals and APs'!$O$50)</f>
        <v>0</v>
      </c>
      <c r="F71" s="487" t="b">
        <f>IF(INSTRUCTIONS!$Q$8="Advanced", 'Advanced - Principals and APs'!$P$50)</f>
        <v>0</v>
      </c>
      <c r="L71" s="1494"/>
      <c r="M71" s="22" t="str">
        <f>CONCATENATE("Total # of ",$C$38," principals")</f>
        <v>Total # of 0 principals</v>
      </c>
      <c r="N71" s="491">
        <f>$D$62*$D$8</f>
        <v>0</v>
      </c>
      <c r="O71" s="491">
        <f>$D$62*$D$8</f>
        <v>0</v>
      </c>
    </row>
    <row r="72" spans="2:15">
      <c r="B72" s="1494"/>
      <c r="C72" s="100">
        <f>'Basic - Principals and APs'!J28</f>
        <v>0</v>
      </c>
      <c r="D72" s="488" t="b">
        <f>IF(INSTRUCTIONS!$Q$8="Advanced", 'Advanced - Principals and APs'!N51)</f>
        <v>0</v>
      </c>
      <c r="E72" s="252" t="b">
        <f>IF(INSTRUCTIONS!$Q$8="Advanced", 'Advanced - Principals and APs'!O51)</f>
        <v>0</v>
      </c>
      <c r="F72" s="487" t="b">
        <f>IF(INSTRUCTIONS!$Q$8="Advanced", 'Advanced - Principals and APs'!P51)</f>
        <v>0</v>
      </c>
      <c r="L72" s="1494"/>
      <c r="M72" s="22" t="str">
        <f>CONCATENATE("Total spending on ",$C$38," principals")</f>
        <v>Total spending on 0 principals</v>
      </c>
      <c r="N72" s="238">
        <f>N71*E74</f>
        <v>0</v>
      </c>
      <c r="O72" s="238">
        <f>O71*F74</f>
        <v>0</v>
      </c>
    </row>
    <row r="73" spans="2:15">
      <c r="B73" s="1494"/>
      <c r="C73" s="100">
        <f>'Basic - Principals and APs'!J29</f>
        <v>0</v>
      </c>
      <c r="D73" s="488" t="b">
        <f>IF(INSTRUCTIONS!$Q$8="Advanced", 'Advanced - Principals and APs'!N52)</f>
        <v>0</v>
      </c>
      <c r="E73" s="252" t="b">
        <f>IF(INSTRUCTIONS!$Q$8="Advanced", 'Advanced - Principals and APs'!O52)</f>
        <v>0</v>
      </c>
      <c r="F73" s="487" t="b">
        <f>IF(INSTRUCTIONS!$Q$8="Advanced", 'Advanced - Principals and APs'!P52)</f>
        <v>0</v>
      </c>
      <c r="L73" s="1494"/>
      <c r="M73" s="22" t="str">
        <f>CONCATENATE("Total # of ",$C$39," principals")</f>
        <v>Total # of 0 principals</v>
      </c>
      <c r="N73" s="491">
        <f>$D$63*$D$8</f>
        <v>0</v>
      </c>
      <c r="O73" s="491">
        <f>$D$63*$D$8</f>
        <v>0</v>
      </c>
    </row>
    <row r="74" spans="2:15">
      <c r="B74" s="1494"/>
      <c r="C74" s="100">
        <f>'Basic - Principals and APs'!J30</f>
        <v>0</v>
      </c>
      <c r="D74" s="488" t="b">
        <f>IF(INSTRUCTIONS!$Q$8="Advanced", 'Advanced - Principals and APs'!N53)</f>
        <v>0</v>
      </c>
      <c r="E74" s="252" t="b">
        <f>IF(INSTRUCTIONS!$Q$8="Advanced", 'Advanced - Principals and APs'!O53)</f>
        <v>0</v>
      </c>
      <c r="F74" s="487" t="b">
        <f>IF(INSTRUCTIONS!$Q$8="Advanced", 'Advanced - Principals and APs'!P53)</f>
        <v>0</v>
      </c>
      <c r="L74" s="1494"/>
      <c r="M74" s="22" t="str">
        <f>CONCATENATE("Total spending on ",$C$39," principals")</f>
        <v>Total spending on 0 principals</v>
      </c>
      <c r="N74" s="238">
        <f>N73*E75</f>
        <v>0</v>
      </c>
      <c r="O74" s="238">
        <f>O73*F75</f>
        <v>0</v>
      </c>
    </row>
    <row r="75" spans="2:15">
      <c r="B75" s="1494"/>
      <c r="C75" s="100">
        <f>'Basic - Principals and APs'!J31</f>
        <v>0</v>
      </c>
      <c r="D75" s="488" t="b">
        <f>IF(INSTRUCTIONS!$Q$8="Advanced", 'Advanced - Principals and APs'!N54)</f>
        <v>0</v>
      </c>
      <c r="E75" s="252" t="b">
        <f>IF(INSTRUCTIONS!$Q$8="Advanced", 'Advanced - Principals and APs'!O54)</f>
        <v>0</v>
      </c>
      <c r="F75" s="487" t="b">
        <f>IF(INSTRUCTIONS!$Q$8="Advanced", 'Advanced - Principals and APs'!P54)</f>
        <v>0</v>
      </c>
      <c r="L75" s="1494"/>
      <c r="M75" s="22" t="str">
        <f>CONCATENATE("Total # of ",$C$40," principals")</f>
        <v>Total # of 0 principals</v>
      </c>
      <c r="N75" s="491">
        <f>$D$64*$D$8</f>
        <v>0</v>
      </c>
      <c r="O75" s="491">
        <f>$D$64*$D$8</f>
        <v>0</v>
      </c>
    </row>
    <row r="76" spans="2:15">
      <c r="B76" s="1494"/>
      <c r="C76" s="100">
        <f>'Basic - Principals and APs'!J32</f>
        <v>0</v>
      </c>
      <c r="D76" s="488" t="b">
        <f>IF(INSTRUCTIONS!$Q$8="Advanced", 'Advanced - Principals and APs'!N55)</f>
        <v>0</v>
      </c>
      <c r="E76" s="252" t="b">
        <f>IF(INSTRUCTIONS!$Q$8="Advanced", 'Advanced - Principals and APs'!O55)</f>
        <v>0</v>
      </c>
      <c r="F76" s="487" t="b">
        <f>IF(INSTRUCTIONS!$Q$8="Advanced", 'Advanced - Principals and APs'!P55)</f>
        <v>0</v>
      </c>
      <c r="L76" s="1494"/>
      <c r="M76" s="22" t="str">
        <f>CONCATENATE("Total spending on ",$C$40," principals")</f>
        <v>Total spending on 0 principals</v>
      </c>
      <c r="N76" s="238">
        <f>N75*E76</f>
        <v>0</v>
      </c>
      <c r="O76" s="238">
        <f>O75*F76</f>
        <v>0</v>
      </c>
    </row>
    <row r="77" spans="2:15" ht="15" thickBot="1">
      <c r="B77" s="1495"/>
      <c r="C77" s="11">
        <f>'Basic - Principals and APs'!J33</f>
        <v>0</v>
      </c>
      <c r="D77" s="489" t="b">
        <f>IF(INSTRUCTIONS!$Q$8="Advanced", 'Advanced - Principals and APs'!N56)</f>
        <v>0</v>
      </c>
      <c r="E77" s="253" t="b">
        <f>IF(INSTRUCTIONS!$Q$8="Advanced", 'Advanced - Principals and APs'!O56)</f>
        <v>0</v>
      </c>
      <c r="F77" s="484" t="b">
        <f>IF(INSTRUCTIONS!$Q$8="Advanced", 'Advanced - Principals and APs'!P56)</f>
        <v>0</v>
      </c>
      <c r="L77" s="1494"/>
      <c r="M77" s="22" t="str">
        <f>CONCATENATE("Total # of ",$C$41," principals")</f>
        <v>Total # of 0 principals</v>
      </c>
      <c r="N77" s="491">
        <f>$D$65*$D$8</f>
        <v>0</v>
      </c>
      <c r="O77" s="491">
        <f>$D$65*$D$8</f>
        <v>0</v>
      </c>
    </row>
    <row r="78" spans="2:15" ht="15" thickBot="1">
      <c r="L78" s="1494"/>
      <c r="M78" s="22" t="str">
        <f>CONCATENATE("Total spending on ",$C$41," principals")</f>
        <v>Total spending on 0 principals</v>
      </c>
      <c r="N78" s="238">
        <f>N77*E77</f>
        <v>0</v>
      </c>
      <c r="O78" s="238">
        <f>O77*F77</f>
        <v>0</v>
      </c>
    </row>
    <row r="79" spans="2:15" ht="29.45" thickBot="1">
      <c r="B79" s="1493" t="s">
        <v>527</v>
      </c>
      <c r="C79" s="217" t="s">
        <v>528</v>
      </c>
      <c r="D79" s="222" t="s">
        <v>82</v>
      </c>
      <c r="E79" s="225" t="s">
        <v>293</v>
      </c>
      <c r="F79" s="224" t="s">
        <v>294</v>
      </c>
      <c r="L79" s="1494"/>
      <c r="M79" s="22" t="s">
        <v>351</v>
      </c>
      <c r="N79" s="244">
        <f>SUM(N61,N63,N65,N67,N69,N71,N73,N75,N77)</f>
        <v>0</v>
      </c>
      <c r="O79" s="244">
        <f>SUM(O61,O63,O65,O67,O69,O71,O73,O75,O77)</f>
        <v>0</v>
      </c>
    </row>
    <row r="80" spans="2:15" ht="15" thickBot="1">
      <c r="B80" s="1494"/>
      <c r="C80" s="89">
        <f>'Basic - Principals and APs'!$J$24</f>
        <v>0</v>
      </c>
      <c r="D80" s="229" t="b">
        <f>IF(INSTRUCTIONS!$Q$8="Advanced", 'Advanced - Principals and APs'!$K$64)</f>
        <v>0</v>
      </c>
      <c r="E80" s="360"/>
      <c r="F80" s="234"/>
      <c r="L80" s="1495"/>
      <c r="M80" s="48" t="s">
        <v>384</v>
      </c>
      <c r="N80" s="239">
        <f>SUM(N62,N64,N66,N68,N70,N72,N74,N76,N78)</f>
        <v>0</v>
      </c>
      <c r="O80" s="239">
        <f>SUM(O62,O64,O66,O68,O70,O72,O74,O76,O78)</f>
        <v>0</v>
      </c>
    </row>
    <row r="81" spans="2:15" ht="15" thickBot="1">
      <c r="B81" s="1494"/>
      <c r="C81" s="483">
        <f>'Basic - Principals and APs'!$J$25</f>
        <v>0</v>
      </c>
      <c r="D81" s="231" t="b">
        <f>IF(INSTRUCTIONS!$Q$8="Advanced", 'Advanced - Principals and APs'!$K$64)</f>
        <v>0</v>
      </c>
      <c r="E81" s="17" t="b">
        <f>IF(INSTRUCTIONS!$Q$8="Advanced", 'Advanced - Principals and APs'!$L$64)</f>
        <v>0</v>
      </c>
      <c r="F81" s="448" t="b">
        <f>IF(INSTRUCTIONS!$Q$8="Advanced", 'Advanced - Principals and APs'!$M$64)</f>
        <v>0</v>
      </c>
    </row>
    <row r="82" spans="2:15" ht="15" customHeight="1" thickBot="1">
      <c r="B82" s="1494"/>
      <c r="C82">
        <f>'Basic - Principals and APs'!$J$26</f>
        <v>0</v>
      </c>
      <c r="D82" s="231" t="b">
        <f>IF(INSTRUCTIONS!$Q$8="Advanced", 'Advanced - Principals and APs'!$K$65)</f>
        <v>0</v>
      </c>
      <c r="E82" s="19" t="b">
        <f>IF(INSTRUCTIONS!$Q$8="Advanced", 'Advanced - Principals and APs'!$L$65)</f>
        <v>0</v>
      </c>
      <c r="F82" s="85" t="b">
        <f>IF(INSTRUCTIONS!$Q$8="Advanced", 'Advanced - Principals and APs'!$M$65)</f>
        <v>0</v>
      </c>
      <c r="L82" s="93"/>
      <c r="M82" s="123"/>
      <c r="N82" s="125" t="s">
        <v>85</v>
      </c>
      <c r="O82" s="124" t="s">
        <v>86</v>
      </c>
    </row>
    <row r="83" spans="2:15" ht="14.45" customHeight="1">
      <c r="B83" s="1494"/>
      <c r="C83" s="139">
        <f>'Basic - Principals and APs'!$J$27</f>
        <v>0</v>
      </c>
      <c r="D83" s="231" t="b">
        <f>IF(INSTRUCTIONS!$Q$8="Advanced", 'Advanced - Principals and APs'!$K$66)</f>
        <v>0</v>
      </c>
      <c r="E83" s="19" t="b">
        <f>IF(INSTRUCTIONS!$Q$8="Advanced", 'Advanced - Principals and APs'!$L$66)</f>
        <v>0</v>
      </c>
      <c r="F83" s="85" t="b">
        <f>IF(INSTRUCTIONS!$Q$8="Advanced", 'Advanced - Principals and APs'!$M$66)</f>
        <v>0</v>
      </c>
      <c r="L83" s="1493" t="s">
        <v>529</v>
      </c>
      <c r="M83" s="37" t="str">
        <f>CONCATENATE("Total # of ",$C$33," assistant principals")</f>
        <v>Total # of 0 assistant principals</v>
      </c>
      <c r="N83" s="236">
        <f>$D$69*$D$9</f>
        <v>0</v>
      </c>
      <c r="O83" s="236">
        <f>$D$69*$D$9</f>
        <v>0</v>
      </c>
    </row>
    <row r="84" spans="2:15">
      <c r="B84" s="1494"/>
      <c r="C84">
        <f>'Basic - Principals and APs'!J28</f>
        <v>0</v>
      </c>
      <c r="D84" s="231" t="b">
        <f>IF(INSTRUCTIONS!$Q$8="Advanced", 'Advanced - Principals and APs'!K67)</f>
        <v>0</v>
      </c>
      <c r="E84" s="19" t="b">
        <f>IF(INSTRUCTIONS!$Q$8="Advanced", 'Advanced - Principals and APs'!L67)</f>
        <v>0</v>
      </c>
      <c r="F84" s="85" t="b">
        <f>IF(INSTRUCTIONS!$Q$8="Advanced", 'Advanced - Principals and APs'!M67)</f>
        <v>0</v>
      </c>
      <c r="L84" s="1494"/>
      <c r="M84" s="66" t="str">
        <f>CONCATENATE("Total spending on ",$C$33," assistant principals")</f>
        <v>Total spending on 0 assistant principals</v>
      </c>
      <c r="N84" s="184">
        <f>N83*$E$69</f>
        <v>0</v>
      </c>
      <c r="O84" s="254">
        <f>O83*$F$69</f>
        <v>0</v>
      </c>
    </row>
    <row r="85" spans="2:15" ht="15" customHeight="1">
      <c r="B85" s="1494"/>
      <c r="C85">
        <f>'Basic - Principals and APs'!J29</f>
        <v>0</v>
      </c>
      <c r="D85" s="231" t="b">
        <f>IF(INSTRUCTIONS!$Q$8="Advanced", 'Advanced - Principals and APs'!K68)</f>
        <v>0</v>
      </c>
      <c r="E85" s="19" t="b">
        <f>IF(INSTRUCTIONS!$Q$8="Advanced", 'Advanced - Principals and APs'!L68)</f>
        <v>0</v>
      </c>
      <c r="F85" s="85" t="b">
        <f>IF(INSTRUCTIONS!$Q$8="Advanced", 'Advanced - Principals and APs'!M68)</f>
        <v>0</v>
      </c>
      <c r="L85" s="1494"/>
      <c r="M85" s="66" t="str">
        <f>CONCATENATE("Total # of ",$C$34," assistant principals")</f>
        <v>Total # of 0 assistant principals</v>
      </c>
      <c r="N85" s="237">
        <f>$D$70*$D$9</f>
        <v>0</v>
      </c>
      <c r="O85" s="237">
        <f>$D$70*$D$9</f>
        <v>0</v>
      </c>
    </row>
    <row r="86" spans="2:15">
      <c r="B86" s="1494"/>
      <c r="C86">
        <f>'Basic - Principals and APs'!J30</f>
        <v>0</v>
      </c>
      <c r="D86" s="231" t="b">
        <f>IF(INSTRUCTIONS!$Q$8="Advanced", 'Advanced - Principals and APs'!K69)</f>
        <v>0</v>
      </c>
      <c r="E86" s="19" t="b">
        <f>IF(INSTRUCTIONS!$Q$8="Advanced", 'Advanced - Principals and APs'!L69)</f>
        <v>0</v>
      </c>
      <c r="F86" s="85" t="b">
        <f>IF(INSTRUCTIONS!$Q$8="Advanced", 'Advanced - Principals and APs'!M69)</f>
        <v>0</v>
      </c>
      <c r="L86" s="1494"/>
      <c r="M86" s="66" t="str">
        <f>CONCATENATE("Total spending on ",$C$34," assistant principals")</f>
        <v>Total spending on 0 assistant principals</v>
      </c>
      <c r="N86" s="184">
        <f>N85*$E$70</f>
        <v>0</v>
      </c>
      <c r="O86" s="254">
        <f>O85*$F$70</f>
        <v>0</v>
      </c>
    </row>
    <row r="87" spans="2:15">
      <c r="B87" s="1494"/>
      <c r="C87">
        <f>'Basic - Principals and APs'!J31</f>
        <v>0</v>
      </c>
      <c r="D87" s="231" t="b">
        <f>IF(INSTRUCTIONS!$Q$8="Advanced", 'Advanced - Principals and APs'!K70)</f>
        <v>0</v>
      </c>
      <c r="E87" s="19" t="b">
        <f>IF(INSTRUCTIONS!$Q$8="Advanced", 'Advanced - Principals and APs'!L70)</f>
        <v>0</v>
      </c>
      <c r="F87" s="85" t="b">
        <f>IF(INSTRUCTIONS!$Q$8="Advanced", 'Advanced - Principals and APs'!M70)</f>
        <v>0</v>
      </c>
      <c r="L87" s="1494"/>
      <c r="M87" s="66" t="str">
        <f>CONCATENATE("Total # of ",$C$35," assistant principals")</f>
        <v>Total # of 0 assistant principals</v>
      </c>
      <c r="N87" s="237">
        <f>$D$71*$D$9</f>
        <v>0</v>
      </c>
      <c r="O87" s="237">
        <f>$D$71*$D$9</f>
        <v>0</v>
      </c>
    </row>
    <row r="88" spans="2:15">
      <c r="B88" s="1494"/>
      <c r="C88">
        <f>'Basic - Principals and APs'!J32</f>
        <v>0</v>
      </c>
      <c r="D88" s="231" t="b">
        <f>IF(INSTRUCTIONS!$Q$8="Advanced", 'Advanced - Principals and APs'!K71)</f>
        <v>0</v>
      </c>
      <c r="E88" s="19" t="b">
        <f>IF(INSTRUCTIONS!$Q$8="Advanced", 'Advanced - Principals and APs'!L71)</f>
        <v>0</v>
      </c>
      <c r="F88" s="85" t="b">
        <f>IF(INSTRUCTIONS!$Q$8="Advanced", 'Advanced - Principals and APs'!M71)</f>
        <v>0</v>
      </c>
      <c r="L88" s="1494"/>
      <c r="M88" s="66" t="str">
        <f>CONCATENATE("Total spending on ",$C$35," assistant principals")</f>
        <v>Total spending on 0 assistant principals</v>
      </c>
      <c r="N88" s="184">
        <f>N87*$E$71</f>
        <v>0</v>
      </c>
      <c r="O88" s="254">
        <f>O87*$F$71</f>
        <v>0</v>
      </c>
    </row>
    <row r="89" spans="2:15" ht="15" thickBot="1">
      <c r="B89" s="1495"/>
      <c r="C89" s="97">
        <f>'Basic - Principals and APs'!J33</f>
        <v>0</v>
      </c>
      <c r="D89" s="232" t="b">
        <f>IF(INSTRUCTIONS!$Q$8="Advanced", 'Advanced - Principals and APs'!K72)</f>
        <v>0</v>
      </c>
      <c r="E89" s="18" t="b">
        <f>IF(INSTRUCTIONS!$Q$8="Advanced", 'Advanced - Principals and APs'!L72)</f>
        <v>0</v>
      </c>
      <c r="F89" s="87" t="b">
        <f>IF(INSTRUCTIONS!$Q$8="Advanced", 'Advanced - Principals and APs'!M72)</f>
        <v>0</v>
      </c>
      <c r="L89" s="1494"/>
      <c r="M89" s="66" t="str">
        <f>CONCATENATE("Total # of ",$C$36," assistant principals")</f>
        <v>Total # of 0 assistant principals</v>
      </c>
      <c r="N89" s="237">
        <f>$D$72*$D$9</f>
        <v>0</v>
      </c>
      <c r="O89" s="237">
        <f>$D$72*$D$9</f>
        <v>0</v>
      </c>
    </row>
    <row r="90" spans="2:15" ht="29.1" customHeight="1" thickBot="1">
      <c r="L90" s="1494"/>
      <c r="M90" s="66" t="str">
        <f>CONCATENATE("Total spending on ",$C$36," assistant principals")</f>
        <v>Total spending on 0 assistant principals</v>
      </c>
      <c r="N90" s="184">
        <f>N89*$E$72</f>
        <v>0</v>
      </c>
      <c r="O90" s="254">
        <f>O89*$F$72</f>
        <v>0</v>
      </c>
    </row>
    <row r="91" spans="2:15" ht="28.5" customHeight="1" thickBot="1">
      <c r="B91" s="1493" t="s">
        <v>530</v>
      </c>
      <c r="C91" s="217" t="s">
        <v>528</v>
      </c>
      <c r="D91" s="222" t="s">
        <v>82</v>
      </c>
      <c r="E91" s="224" t="s">
        <v>293</v>
      </c>
      <c r="F91" s="223" t="s">
        <v>294</v>
      </c>
      <c r="L91" s="1494"/>
      <c r="M91" s="22" t="str">
        <f>CONCATENATE("Total # of ",$C$37," principals")</f>
        <v>Total # of 0 principals</v>
      </c>
      <c r="N91" s="237">
        <f>$D$73*$D$9</f>
        <v>0</v>
      </c>
      <c r="O91" s="237">
        <f>$D$73*$D$9</f>
        <v>0</v>
      </c>
    </row>
    <row r="92" spans="2:15" ht="15" thickBot="1">
      <c r="B92" s="1494"/>
      <c r="C92" s="10">
        <f>'Basic - Principals and APs'!$J$24</f>
        <v>0</v>
      </c>
      <c r="D92" s="248" t="b">
        <f>IF(INSTRUCTIONS!$Q$8="Advanced", 'Advanced - Principals and APs'!$N$63)</f>
        <v>0</v>
      </c>
      <c r="E92" s="495"/>
      <c r="F92" s="485"/>
      <c r="L92" s="1494"/>
      <c r="M92" s="22" t="str">
        <f>CONCATENATE("Total spending on ",$C$37," principals")</f>
        <v>Total spending on 0 principals</v>
      </c>
      <c r="N92" s="184">
        <f>N91*E73</f>
        <v>0</v>
      </c>
      <c r="O92" s="184">
        <f>O91*F73</f>
        <v>0</v>
      </c>
    </row>
    <row r="93" spans="2:15">
      <c r="B93" s="1494"/>
      <c r="C93" s="486">
        <f>'Basic - Principals and APs'!$J$25</f>
        <v>0</v>
      </c>
      <c r="D93" s="488" t="b">
        <f>IF(INSTRUCTIONS!$Q$8="Advanced", 'Advanced - Principals and APs'!$N$64)</f>
        <v>0</v>
      </c>
      <c r="E93" s="251" t="b">
        <f>IF(INSTRUCTIONS!$Q$8="Advanced", 'Advanced - Principals and APs'!$O$64)</f>
        <v>0</v>
      </c>
      <c r="F93" s="490" t="b">
        <f>IF(INSTRUCTIONS!$Q$8="Advanced", 'Advanced - Principals and APs'!$P$64)</f>
        <v>0</v>
      </c>
      <c r="L93" s="1494"/>
      <c r="M93" s="22" t="str">
        <f>CONCATENATE("Total # of ",$C$38," principals")</f>
        <v>Total # of 0 principals</v>
      </c>
      <c r="N93" s="237">
        <f>$D$74*$D$9</f>
        <v>0</v>
      </c>
      <c r="O93" s="237">
        <f>$D$74*$D$9</f>
        <v>0</v>
      </c>
    </row>
    <row r="94" spans="2:15">
      <c r="B94" s="1494"/>
      <c r="C94" s="100">
        <f>'Basic - Principals and APs'!$J$26</f>
        <v>0</v>
      </c>
      <c r="D94" s="488" t="b">
        <f>IF(INSTRUCTIONS!$Q$8="Advanced", 'Advanced - Principals and APs'!$N$65)</f>
        <v>0</v>
      </c>
      <c r="E94" s="252" t="b">
        <f>IF(INSTRUCTIONS!$Q$8="Advanced", 'Advanced - Principals and APs'!$O$65)</f>
        <v>0</v>
      </c>
      <c r="F94" s="487" t="b">
        <f>IF(INSTRUCTIONS!$Q$8="Advanced", 'Advanced - Principals and APs'!$P$65)</f>
        <v>0</v>
      </c>
      <c r="L94" s="1494"/>
      <c r="M94" s="22" t="str">
        <f>CONCATENATE("Total spending on ",$C$38," principals")</f>
        <v>Total spending on 0 principals</v>
      </c>
      <c r="N94" s="184">
        <f>N93*E74</f>
        <v>0</v>
      </c>
      <c r="O94" s="184">
        <f>O93*F74</f>
        <v>0</v>
      </c>
    </row>
    <row r="95" spans="2:15" ht="29.1" customHeight="1">
      <c r="B95" s="1494"/>
      <c r="C95" s="475">
        <f>'Basic - Principals and APs'!$J$27</f>
        <v>0</v>
      </c>
      <c r="D95" s="488" t="b">
        <f>IF(INSTRUCTIONS!$Q$8="Advanced", 'Advanced - Principals and APs'!$N$66)</f>
        <v>0</v>
      </c>
      <c r="E95" s="252" t="b">
        <f>IF(INSTRUCTIONS!$Q$8="Advanced", 'Advanced - Principals and APs'!$O$66)</f>
        <v>0</v>
      </c>
      <c r="F95" s="487" t="b">
        <f>IF(INSTRUCTIONS!$Q$8="Advanced", 'Advanced - Principals and APs'!$P$66)</f>
        <v>0</v>
      </c>
      <c r="L95" s="1494"/>
      <c r="M95" s="22" t="str">
        <f>CONCATENATE("Total # of ",$C$39," principals")</f>
        <v>Total # of 0 principals</v>
      </c>
      <c r="N95" s="237">
        <f>$D$75*$D$9</f>
        <v>0</v>
      </c>
      <c r="O95" s="237">
        <f>$D$75*$D$9</f>
        <v>0</v>
      </c>
    </row>
    <row r="96" spans="2:15">
      <c r="B96" s="1494"/>
      <c r="C96" s="100">
        <f>'Basic - Principals and APs'!J28</f>
        <v>0</v>
      </c>
      <c r="D96" s="488" t="b">
        <f>IF(INSTRUCTIONS!$Q$8="Advanced", 'Advanced - Principals and APs'!N67)</f>
        <v>0</v>
      </c>
      <c r="E96" s="252" t="b">
        <f>IF(INSTRUCTIONS!$Q$8="Advanced", 'Advanced - Principals and APs'!O67)</f>
        <v>0</v>
      </c>
      <c r="F96" s="487" t="b">
        <f>IF(INSTRUCTIONS!$Q$8="Advanced", 'Advanced - Principals and APs'!P67)</f>
        <v>0</v>
      </c>
      <c r="L96" s="1494"/>
      <c r="M96" s="22" t="str">
        <f>CONCATENATE("Total spending on ",$C$39," principals")</f>
        <v>Total spending on 0 principals</v>
      </c>
      <c r="N96" s="184">
        <f>N95*E75</f>
        <v>0</v>
      </c>
      <c r="O96" s="184">
        <f>O95*F75</f>
        <v>0</v>
      </c>
    </row>
    <row r="97" spans="2:15" ht="15" customHeight="1">
      <c r="B97" s="1494"/>
      <c r="C97" s="100">
        <f>'Basic - Principals and APs'!J29</f>
        <v>0</v>
      </c>
      <c r="D97" s="488" t="b">
        <f>IF(INSTRUCTIONS!$Q$8="Advanced", 'Advanced - Principals and APs'!N68)</f>
        <v>0</v>
      </c>
      <c r="E97" s="252" t="b">
        <f>IF(INSTRUCTIONS!$Q$8="Advanced", 'Advanced - Principals and APs'!O68)</f>
        <v>0</v>
      </c>
      <c r="F97" s="487" t="b">
        <f>IF(INSTRUCTIONS!$Q$8="Advanced", 'Advanced - Principals and APs'!P68)</f>
        <v>0</v>
      </c>
      <c r="L97" s="1494"/>
      <c r="M97" s="22" t="str">
        <f>CONCATENATE("Total # of ",$C$40," principals")</f>
        <v>Total # of 0 principals</v>
      </c>
      <c r="N97" s="237">
        <f>$D$76*$D$9</f>
        <v>0</v>
      </c>
      <c r="O97" s="237">
        <f>$D$76*$D$9</f>
        <v>0</v>
      </c>
    </row>
    <row r="98" spans="2:15">
      <c r="B98" s="1494"/>
      <c r="C98" s="100">
        <f>'Basic - Principals and APs'!J30</f>
        <v>0</v>
      </c>
      <c r="D98" s="488" t="b">
        <f>IF(INSTRUCTIONS!$Q$8="Advanced", 'Advanced - Principals and APs'!N69)</f>
        <v>0</v>
      </c>
      <c r="E98" s="252" t="b">
        <f>IF(INSTRUCTIONS!$Q$8="Advanced", 'Advanced - Principals and APs'!O69)</f>
        <v>0</v>
      </c>
      <c r="F98" s="487" t="b">
        <f>IF(INSTRUCTIONS!$Q$8="Advanced", 'Advanced - Principals and APs'!P69)</f>
        <v>0</v>
      </c>
      <c r="L98" s="1494"/>
      <c r="M98" s="22" t="str">
        <f>CONCATENATE("Total spending on ",$C$40," principals")</f>
        <v>Total spending on 0 principals</v>
      </c>
      <c r="N98" s="184">
        <f>N97*E76</f>
        <v>0</v>
      </c>
      <c r="O98" s="184">
        <f>O97*F76</f>
        <v>0</v>
      </c>
    </row>
    <row r="99" spans="2:15" ht="33.6" customHeight="1">
      <c r="B99" s="1494"/>
      <c r="C99" s="100">
        <f>'Basic - Principals and APs'!J31</f>
        <v>0</v>
      </c>
      <c r="D99" s="488" t="b">
        <f>IF(INSTRUCTIONS!$Q$8="Advanced", 'Advanced - Principals and APs'!N70)</f>
        <v>0</v>
      </c>
      <c r="E99" s="252" t="b">
        <f>IF(INSTRUCTIONS!$Q$8="Advanced", 'Advanced - Principals and APs'!O70)</f>
        <v>0</v>
      </c>
      <c r="F99" s="487" t="b">
        <f>IF(INSTRUCTIONS!$Q$8="Advanced", 'Advanced - Principals and APs'!P70)</f>
        <v>0</v>
      </c>
      <c r="L99" s="1494"/>
      <c r="M99" s="22" t="str">
        <f>CONCATENATE("Total # of ",$C$41," principals")</f>
        <v>Total # of 0 principals</v>
      </c>
      <c r="N99" s="237">
        <f>$D$77*$D$9</f>
        <v>0</v>
      </c>
      <c r="O99" s="237">
        <f>$D$77*$D$9</f>
        <v>0</v>
      </c>
    </row>
    <row r="100" spans="2:15">
      <c r="B100" s="1494"/>
      <c r="C100" s="100">
        <f>'Basic - Principals and APs'!J32</f>
        <v>0</v>
      </c>
      <c r="D100" s="488" t="b">
        <f>IF(INSTRUCTIONS!$Q$8="Advanced", 'Advanced - Principals and APs'!N71)</f>
        <v>0</v>
      </c>
      <c r="E100" s="252" t="b">
        <f>IF(INSTRUCTIONS!$Q$8="Advanced", 'Advanced - Principals and APs'!O71)</f>
        <v>0</v>
      </c>
      <c r="F100" s="487" t="b">
        <f>IF(INSTRUCTIONS!$Q$8="Advanced", 'Advanced - Principals and APs'!P71)</f>
        <v>0</v>
      </c>
      <c r="L100" s="1494"/>
      <c r="M100" s="22" t="str">
        <f>CONCATENATE("Total spending on ",$C$41," principals")</f>
        <v>Total spending on 0 principals</v>
      </c>
      <c r="N100" s="184">
        <f>N99*E77</f>
        <v>0</v>
      </c>
      <c r="O100" s="184">
        <f>O99*F77</f>
        <v>0</v>
      </c>
    </row>
    <row r="101" spans="2:15" ht="15" thickBot="1">
      <c r="B101" s="1495"/>
      <c r="C101" s="11">
        <f>'Basic - Principals and APs'!J33</f>
        <v>0</v>
      </c>
      <c r="D101" s="489" t="b">
        <f>IF(INSTRUCTIONS!$Q$8="Advanced", 'Advanced - Principals and APs'!N72)</f>
        <v>0</v>
      </c>
      <c r="E101" s="253" t="b">
        <f>IF(INSTRUCTIONS!$Q$8="Advanced", 'Advanced - Principals and APs'!O72)</f>
        <v>0</v>
      </c>
      <c r="F101" s="484" t="b">
        <f>IF(INSTRUCTIONS!$Q$8="Advanced", 'Advanced - Principals and APs'!P72)</f>
        <v>0</v>
      </c>
      <c r="L101" s="1494"/>
      <c r="M101" s="66" t="s">
        <v>351</v>
      </c>
      <c r="N101" s="237">
        <f>SUM(N83,N85,N87,N89,N91,N93,N95,N97,N99)</f>
        <v>0</v>
      </c>
      <c r="O101" s="237">
        <f>SUM(O83,O85,O87,O89,O91,O93,O95,O97,O99)</f>
        <v>0</v>
      </c>
    </row>
    <row r="102" spans="2:15" ht="15" thickBot="1">
      <c r="L102" s="1495"/>
      <c r="M102" s="146" t="s">
        <v>395</v>
      </c>
      <c r="N102" s="239">
        <f>SUM(N84,N86,N88,N90,N92,N94,N96,N98,N100)</f>
        <v>0</v>
      </c>
      <c r="O102" s="239">
        <f>SUM(O84,O86,O88,O90,O92,O94,O96,O98,O100)</f>
        <v>0</v>
      </c>
    </row>
    <row r="103" spans="2:15" ht="29.45" thickBot="1">
      <c r="B103" s="1488" t="s">
        <v>531</v>
      </c>
      <c r="C103" s="160" t="s">
        <v>532</v>
      </c>
      <c r="D103" s="222" t="s">
        <v>386</v>
      </c>
      <c r="E103" s="125" t="s">
        <v>533</v>
      </c>
      <c r="F103" s="225" t="s">
        <v>293</v>
      </c>
      <c r="G103" s="226" t="s">
        <v>294</v>
      </c>
    </row>
    <row r="104" spans="2:15" ht="15" thickBot="1">
      <c r="B104" s="1489"/>
      <c r="C104" s="89" t="s">
        <v>388</v>
      </c>
      <c r="D104" s="229" t="b">
        <f>IF(INSTRUCTIONS!$Q$8="Advanced", 'Advanced - Principals and APs'!$K$80)</f>
        <v>0</v>
      </c>
      <c r="E104" s="229" t="b">
        <f>IF(INSTRUCTIONS!$Q$8="Advanced", 'Advanced - Principals and APs'!$M$80)</f>
        <v>0</v>
      </c>
      <c r="F104" s="84" t="b">
        <f>IF(INSTRUCTIONS!$Q$8="Advanced", 'Advanced - Principals and APs'!$L$80)</f>
        <v>0</v>
      </c>
      <c r="G104" s="17" t="b">
        <f>IF(INSTRUCTIONS!$Q$8="Advanced", 'Advanced - Principals and APs'!$N$80)</f>
        <v>0</v>
      </c>
      <c r="L104" s="93"/>
      <c r="M104" s="123"/>
      <c r="N104" s="125" t="s">
        <v>85</v>
      </c>
      <c r="O104" s="124" t="s">
        <v>86</v>
      </c>
    </row>
    <row r="105" spans="2:15" ht="15" customHeight="1" thickBot="1">
      <c r="B105" s="1490"/>
      <c r="C105" s="97" t="s">
        <v>389</v>
      </c>
      <c r="D105" s="12" t="b">
        <f>IF(INSTRUCTIONS!$Q$8="Advanced", 'Advanced - Principals and APs'!$K$81)</f>
        <v>0</v>
      </c>
      <c r="E105" s="12" t="b">
        <f>IF(INSTRUCTIONS!$Q$8="Advanced", 'Advanced - Principals and APs'!$M$81)</f>
        <v>0</v>
      </c>
      <c r="F105" s="86" t="b">
        <f>IF(INSTRUCTIONS!$Q$8="Advanced", 'Advanced - Principals and APs'!$L$81)</f>
        <v>0</v>
      </c>
      <c r="G105" s="18" t="b">
        <f>IF(INSTRUCTIONS!$Q$8="Advanced", 'Advanced - Principals and APs'!$N$81)</f>
        <v>0</v>
      </c>
      <c r="L105" s="1493" t="s">
        <v>534</v>
      </c>
      <c r="M105" s="47" t="str">
        <f>CONCATENATE("Total # of ",$C$33," principals")</f>
        <v>Total # of 0 principals</v>
      </c>
      <c r="N105" s="243">
        <f>$D$81*$D$11</f>
        <v>0</v>
      </c>
      <c r="O105" s="243">
        <f>$D$81*$D$11</f>
        <v>0</v>
      </c>
    </row>
    <row r="106" spans="2:15" ht="15" thickBot="1">
      <c r="L106" s="1494"/>
      <c r="M106" s="22" t="str">
        <f>CONCATENATE("Total spending on ",$C$33," principals")</f>
        <v>Total spending on 0 principals</v>
      </c>
      <c r="N106" s="238">
        <f>N105*$E$81</f>
        <v>0</v>
      </c>
      <c r="O106" s="247">
        <f>O105*$F$81</f>
        <v>0</v>
      </c>
    </row>
    <row r="107" spans="2:15" ht="29.45" thickBot="1">
      <c r="B107" s="1488" t="s">
        <v>535</v>
      </c>
      <c r="C107" s="160" t="s">
        <v>536</v>
      </c>
      <c r="D107" s="222" t="s">
        <v>386</v>
      </c>
      <c r="E107" s="125" t="s">
        <v>533</v>
      </c>
      <c r="F107" s="225" t="s">
        <v>293</v>
      </c>
      <c r="G107" s="226" t="s">
        <v>294</v>
      </c>
      <c r="L107" s="1494"/>
      <c r="M107" s="22" t="str">
        <f>CONCATENATE("Total # of ",$C$34," principals")</f>
        <v>Total # of 0 principals</v>
      </c>
      <c r="N107" s="244">
        <f>$D$82*$D11</f>
        <v>0</v>
      </c>
      <c r="O107" s="244">
        <f>$D$82*$D11</f>
        <v>0</v>
      </c>
    </row>
    <row r="108" spans="2:15">
      <c r="B108" s="1489"/>
      <c r="C108" s="89" t="s">
        <v>388</v>
      </c>
      <c r="D108" s="229" t="b">
        <f>IF(INSTRUCTIONS!$Q$8="Advanced", 'Advanced - Principals and APs'!$K$83)</f>
        <v>0</v>
      </c>
      <c r="E108" s="229" t="b">
        <f>IF(INSTRUCTIONS!$Q$8="Advanced", 'Advanced - Principals and APs'!$M$83)</f>
        <v>0</v>
      </c>
      <c r="F108" s="84" t="b">
        <f>IF(INSTRUCTIONS!$Q$8="Advanced", 'Advanced - Principals and APs'!$L$83)</f>
        <v>0</v>
      </c>
      <c r="G108" s="17" t="b">
        <f>IF(INSTRUCTIONS!$Q$8="Advanced", 'Advanced - Principals and APs'!$N$83)</f>
        <v>0</v>
      </c>
      <c r="L108" s="1494"/>
      <c r="M108" s="22" t="str">
        <f>CONCATENATE("Total spending on ",$C$34," principals")</f>
        <v>Total spending on 0 principals</v>
      </c>
      <c r="N108" s="238">
        <f>N107*$E$82</f>
        <v>0</v>
      </c>
      <c r="O108" s="247">
        <f>O107*$F$82</f>
        <v>0</v>
      </c>
    </row>
    <row r="109" spans="2:15" ht="15" thickBot="1">
      <c r="B109" s="1490"/>
      <c r="C109" s="97" t="s">
        <v>389</v>
      </c>
      <c r="D109" s="12" t="b">
        <f>IF(INSTRUCTIONS!$Q$8="Advanced", 'Advanced - Principals and APs'!$K$84)</f>
        <v>0</v>
      </c>
      <c r="E109" s="12" t="b">
        <f>IF(INSTRUCTIONS!$Q$8="Advanced", 'Advanced - Principals and APs'!$M$84)</f>
        <v>0</v>
      </c>
      <c r="F109" s="86" t="b">
        <f>IF(INSTRUCTIONS!$Q$8="Advanced", 'Advanced - Principals and APs'!$L$84)</f>
        <v>0</v>
      </c>
      <c r="G109" s="18" t="b">
        <f>IF(INSTRUCTIONS!$Q$8="Advanced", 'Advanced - Principals and APs'!$N$84)</f>
        <v>0</v>
      </c>
      <c r="L109" s="1494"/>
      <c r="M109" s="22" t="str">
        <f>CONCATENATE("Total # of ",$C$35," principals")</f>
        <v>Total # of 0 principals</v>
      </c>
      <c r="N109" s="244">
        <f>$D$83*$D$11</f>
        <v>0</v>
      </c>
      <c r="O109" s="244">
        <f>$D$83*$D$11</f>
        <v>0</v>
      </c>
    </row>
    <row r="110" spans="2:15" ht="15" thickBot="1">
      <c r="L110" s="1494"/>
      <c r="M110" s="22" t="str">
        <f>CONCATENATE("Total spending on ",$C$35," principals")</f>
        <v>Total spending on 0 principals</v>
      </c>
      <c r="N110" s="238">
        <f>N109*$E$83</f>
        <v>0</v>
      </c>
      <c r="O110" s="247">
        <f>O109*$F$83</f>
        <v>0</v>
      </c>
    </row>
    <row r="111" spans="2:15" ht="29.45" thickBot="1">
      <c r="B111" s="1488" t="s">
        <v>537</v>
      </c>
      <c r="C111" s="160" t="s">
        <v>538</v>
      </c>
      <c r="D111" s="222" t="s">
        <v>386</v>
      </c>
      <c r="E111" s="125" t="s">
        <v>533</v>
      </c>
      <c r="F111" s="225" t="s">
        <v>293</v>
      </c>
      <c r="G111" s="226" t="s">
        <v>294</v>
      </c>
      <c r="L111" s="1494"/>
      <c r="M111" s="22" t="str">
        <f>CONCATENATE("Total # of ",$C$36," principals")</f>
        <v>Total # of 0 principals</v>
      </c>
      <c r="N111" s="244">
        <f>$D$84*$D$11</f>
        <v>0</v>
      </c>
      <c r="O111" s="244">
        <f>$D$84*$D$11</f>
        <v>0</v>
      </c>
    </row>
    <row r="112" spans="2:15">
      <c r="B112" s="1489"/>
      <c r="C112" s="89" t="s">
        <v>388</v>
      </c>
      <c r="D112" s="229" t="b">
        <f>IF(INSTRUCTIONS!$Q$8="Advanced", 'Advanced - Principals and APs'!$K$86)</f>
        <v>0</v>
      </c>
      <c r="E112" s="229" t="b">
        <f>IF(INSTRUCTIONS!$Q$8="Advanced", 'Advanced - Principals and APs'!$M$86)</f>
        <v>0</v>
      </c>
      <c r="F112" s="84" t="b">
        <f>IF(INSTRUCTIONS!$Q$8="Advanced", 'Advanced - Principals and APs'!$L$86)</f>
        <v>0</v>
      </c>
      <c r="G112" s="17" t="b">
        <f>IF(INSTRUCTIONS!$Q$8="Advanced", 'Advanced - Principals and APs'!$N$86)</f>
        <v>0</v>
      </c>
      <c r="L112" s="1494"/>
      <c r="M112" s="22" t="str">
        <f>CONCATENATE("Total # of ",$C$37," principals")</f>
        <v>Total # of 0 principals</v>
      </c>
      <c r="N112" s="237">
        <f>$D$85*$D$11</f>
        <v>0</v>
      </c>
      <c r="O112" s="237">
        <f>$D$85*$D$11</f>
        <v>0</v>
      </c>
    </row>
    <row r="113" spans="2:15" ht="15" thickBot="1">
      <c r="B113" s="1490"/>
      <c r="C113" s="97" t="s">
        <v>389</v>
      </c>
      <c r="D113" s="12" t="b">
        <f>IF(INSTRUCTIONS!$Q$8="Advanced", 'Advanced - Principals and APs'!$K$87)</f>
        <v>0</v>
      </c>
      <c r="E113" s="12" t="b">
        <f>IF(INSTRUCTIONS!$Q$8="Advanced", 'Advanced - Principals and APs'!$M$87)</f>
        <v>0</v>
      </c>
      <c r="F113" s="86" t="b">
        <f>IF(INSTRUCTIONS!$Q$8="Advanced", 'Advanced - Principals and APs'!$L$87)</f>
        <v>0</v>
      </c>
      <c r="G113" s="18" t="b">
        <f>IF(INSTRUCTIONS!$Q$8="Advanced", 'Advanced - Principals and APs'!$N$87)</f>
        <v>0</v>
      </c>
      <c r="L113" s="1494"/>
      <c r="M113" s="22" t="str">
        <f>CONCATENATE("Total spending on ",$C$37," principals")</f>
        <v>Total spending on 0 principals</v>
      </c>
      <c r="N113" s="238">
        <f>N112*E85</f>
        <v>0</v>
      </c>
      <c r="O113" s="238">
        <f>O112*F85</f>
        <v>0</v>
      </c>
    </row>
    <row r="114" spans="2:15" ht="15" thickBot="1">
      <c r="L114" s="1494"/>
      <c r="M114" s="22" t="str">
        <f>CONCATENATE("Total # of ",$C$38," principals")</f>
        <v>Total # of 0 principals</v>
      </c>
      <c r="N114" s="237">
        <f>$D$86*$D$11</f>
        <v>0</v>
      </c>
      <c r="O114" s="237">
        <f>$D$86*$D$11</f>
        <v>0</v>
      </c>
    </row>
    <row r="115" spans="2:15" ht="15" thickBot="1">
      <c r="B115" s="93"/>
      <c r="C115" s="78"/>
      <c r="D115" s="222" t="s">
        <v>216</v>
      </c>
      <c r="E115" s="222" t="s">
        <v>217</v>
      </c>
      <c r="L115" s="1494"/>
      <c r="M115" s="22" t="str">
        <f>CONCATENATE("Total spending on ",$C$38," principals")</f>
        <v>Total spending on 0 principals</v>
      </c>
      <c r="N115" s="238">
        <f>N114*E86</f>
        <v>0</v>
      </c>
      <c r="O115" s="238">
        <f>O114*F86</f>
        <v>0</v>
      </c>
    </row>
    <row r="116" spans="2:15">
      <c r="B116" s="1498" t="s">
        <v>539</v>
      </c>
      <c r="C116" s="10" t="s">
        <v>244</v>
      </c>
      <c r="D116" s="230" t="b">
        <f>IF(INSTRUCTIONS!$Q$8="Advanced", 'Advanced - Principals and APs'!$U$13)</f>
        <v>0</v>
      </c>
      <c r="E116" s="229" t="b">
        <f>IF(INSTRUCTIONS!$Q$8="Advanced", 'Advanced - Principals and APs'!$U$14)</f>
        <v>0</v>
      </c>
      <c r="L116" s="1494"/>
      <c r="M116" s="22" t="str">
        <f>CONCATENATE("Total # of ",$C$39," principals")</f>
        <v>Total # of 0 principals</v>
      </c>
      <c r="N116" s="237">
        <f>$D$87*$D$11</f>
        <v>0</v>
      </c>
      <c r="O116" s="237">
        <f>$D$87*$D$11</f>
        <v>0</v>
      </c>
    </row>
    <row r="117" spans="2:15" ht="14.45" customHeight="1">
      <c r="B117" s="1499"/>
      <c r="C117" s="100" t="s">
        <v>391</v>
      </c>
      <c r="D117" s="227" t="b">
        <f>IF(INSTRUCTIONS!$Q$8="Advanced", 'Advanced - Principals and APs'!$V$13)</f>
        <v>0</v>
      </c>
      <c r="E117" s="19" t="b">
        <f>IF(INSTRUCTIONS!$Q$8="Advanced", 'Advanced - Principals and APs'!$V$14)</f>
        <v>0</v>
      </c>
      <c r="L117" s="1494"/>
      <c r="M117" s="22" t="str">
        <f>CONCATENATE("Total spending on ",$C$39," principals")</f>
        <v>Total spending on 0 principals</v>
      </c>
      <c r="N117" s="238">
        <f>N116*E87</f>
        <v>0</v>
      </c>
      <c r="O117" s="238">
        <f>O116*F87</f>
        <v>0</v>
      </c>
    </row>
    <row r="118" spans="2:15" ht="14.45" customHeight="1" thickBot="1">
      <c r="B118" s="1500"/>
      <c r="C118" s="11" t="s">
        <v>540</v>
      </c>
      <c r="D118" s="228" t="b">
        <f>IF(INSTRUCTIONS!$Q$8="Advanced", 'Advanced - Principals and APs'!$W$13)</f>
        <v>0</v>
      </c>
      <c r="E118" s="18" t="b">
        <f>IF(INSTRUCTIONS!$Q$8="Advanced", 'Advanced - Principals and APs'!$W$14)</f>
        <v>0</v>
      </c>
      <c r="L118" s="1494"/>
      <c r="M118" s="22" t="str">
        <f>CONCATENATE("Total # of ",$C$40," principals")</f>
        <v>Total # of 0 principals</v>
      </c>
      <c r="N118" s="237">
        <f>$D$88*$D$11</f>
        <v>0</v>
      </c>
      <c r="O118" s="237">
        <f>$D$88*$D$11</f>
        <v>0</v>
      </c>
    </row>
    <row r="119" spans="2:15" ht="15" thickBot="1">
      <c r="L119" s="1494"/>
      <c r="M119" s="22" t="str">
        <f>CONCATENATE("Total spending on ",$C$40," principals")</f>
        <v>Total spending on 0 principals</v>
      </c>
      <c r="N119" s="238">
        <f>N118*E88</f>
        <v>0</v>
      </c>
      <c r="O119" s="238">
        <f>O118*F88</f>
        <v>0</v>
      </c>
    </row>
    <row r="120" spans="2:15" ht="15" thickBot="1">
      <c r="B120" s="93"/>
      <c r="C120" s="78"/>
      <c r="D120" s="222" t="s">
        <v>216</v>
      </c>
      <c r="E120" s="222" t="s">
        <v>217</v>
      </c>
      <c r="L120" s="1494"/>
      <c r="M120" s="22" t="str">
        <f>CONCATENATE("Total # of ",$C$41," principals")</f>
        <v>Total # of 0 principals</v>
      </c>
      <c r="N120" s="237">
        <f>$D$89*$D$11</f>
        <v>0</v>
      </c>
      <c r="O120" s="237">
        <f>$D$89*$D$11</f>
        <v>0</v>
      </c>
    </row>
    <row r="121" spans="2:15">
      <c r="B121" s="1498" t="s">
        <v>541</v>
      </c>
      <c r="C121" s="10" t="s">
        <v>244</v>
      </c>
      <c r="D121" s="229" t="b">
        <f>IF(INSTRUCTIONS!$Q$8="Advanced", 'Advanced - Principals and APs'!$U$16)</f>
        <v>0</v>
      </c>
      <c r="E121" s="229" t="b">
        <f>IF(INSTRUCTIONS!$Q$8="Advanced", 'Advanced - Principals and APs'!$U$17)</f>
        <v>0</v>
      </c>
      <c r="L121" s="1494"/>
      <c r="M121" s="22" t="str">
        <f>CONCATENATE("Total spending on ",$C$41," principals")</f>
        <v>Total spending on 0 principals</v>
      </c>
      <c r="N121" s="238">
        <f>N120*E89</f>
        <v>0</v>
      </c>
      <c r="O121" s="238">
        <f>O120*F89</f>
        <v>0</v>
      </c>
    </row>
    <row r="122" spans="2:15">
      <c r="B122" s="1499"/>
      <c r="C122" s="100" t="s">
        <v>391</v>
      </c>
      <c r="D122" s="19" t="b">
        <f>IF(INSTRUCTIONS!$Q$8="Advanced", 'Advanced - Principals and APs'!$V$16)</f>
        <v>0</v>
      </c>
      <c r="E122" s="19" t="b">
        <f>IF(INSTRUCTIONS!$Q$8="Advanced", 'Advanced - Principals and APs'!$V$17)</f>
        <v>0</v>
      </c>
      <c r="L122" s="1494"/>
      <c r="M122" s="22" t="str">
        <f>CONCATENATE("Total spending on ",$C$36," principals")</f>
        <v>Total spending on 0 principals</v>
      </c>
      <c r="N122" s="238">
        <f>N111*$E$84</f>
        <v>0</v>
      </c>
      <c r="O122" s="247">
        <f>O111*$F$84</f>
        <v>0</v>
      </c>
    </row>
    <row r="123" spans="2:15" ht="14.45" customHeight="1" thickBot="1">
      <c r="B123" s="1500"/>
      <c r="C123" s="11" t="s">
        <v>540</v>
      </c>
      <c r="D123" s="18" t="b">
        <f>IF(INSTRUCTIONS!$Q$8="Advanced", 'Advanced - Principals and APs'!$W$16)</f>
        <v>0</v>
      </c>
      <c r="E123" s="18" t="b">
        <f>IF(INSTRUCTIONS!$Q$8="Advanced", 'Advanced - Principals and APs'!$W$17)</f>
        <v>0</v>
      </c>
      <c r="L123" s="1494"/>
      <c r="M123" s="22" t="s">
        <v>351</v>
      </c>
      <c r="N123" s="244">
        <f>SUM(N105,N107,N109,N111,N112,N114,N116,N118,N120)</f>
        <v>0</v>
      </c>
      <c r="O123" s="244">
        <f>SUM(O105,O107,O109,O111,O112,O114,O116,O118,O120)</f>
        <v>0</v>
      </c>
    </row>
    <row r="124" spans="2:15" ht="15" thickBot="1">
      <c r="L124" s="1495"/>
      <c r="M124" s="48" t="s">
        <v>384</v>
      </c>
      <c r="N124" s="239">
        <f>SUM(N106,N108,N110,N122,N113,N115,N117,N119,N121)</f>
        <v>0</v>
      </c>
      <c r="O124" s="239">
        <f>SUM(O106,O108,O110,O122,O113,O115,O117,O119,O121)</f>
        <v>0</v>
      </c>
    </row>
    <row r="125" spans="2:15" ht="15" thickBot="1">
      <c r="B125" s="93"/>
      <c r="C125" s="78"/>
      <c r="D125" s="222" t="s">
        <v>216</v>
      </c>
      <c r="E125" s="222" t="s">
        <v>217</v>
      </c>
    </row>
    <row r="126" spans="2:15" ht="15" thickBot="1">
      <c r="B126" s="1498" t="s">
        <v>542</v>
      </c>
      <c r="C126" s="10" t="s">
        <v>244</v>
      </c>
      <c r="D126" s="229" t="b">
        <f>IF(INSTRUCTIONS!$Q$8="Advanced", 'Advanced - Principals and APs'!$U$19)</f>
        <v>0</v>
      </c>
      <c r="E126" s="229" t="b">
        <f>IF(INSTRUCTIONS!$Q$8="Advanced", 'Advanced - Principals and APs'!$U$20)</f>
        <v>0</v>
      </c>
      <c r="L126" s="93"/>
      <c r="M126" s="123"/>
      <c r="N126" s="125" t="s">
        <v>85</v>
      </c>
      <c r="O126" s="124" t="s">
        <v>86</v>
      </c>
    </row>
    <row r="127" spans="2:15" ht="14.45" customHeight="1">
      <c r="B127" s="1499"/>
      <c r="C127" s="100" t="s">
        <v>391</v>
      </c>
      <c r="D127" s="19" t="b">
        <f>IF(INSTRUCTIONS!$Q$8="Advanced", 'Advanced - Principals and APs'!$V$19)</f>
        <v>0</v>
      </c>
      <c r="E127" s="19" t="b">
        <f>IF(INSTRUCTIONS!$Q$8="Advanced", 'Advanced - Principals and APs'!$V$17)</f>
        <v>0</v>
      </c>
      <c r="L127" s="1493" t="s">
        <v>543</v>
      </c>
      <c r="M127" s="37" t="str">
        <f>CONCATENATE("Total # of ",$C$33," assistant principals")</f>
        <v>Total # of 0 assistant principals</v>
      </c>
      <c r="N127" s="236">
        <f>$D$93*$D$12</f>
        <v>0</v>
      </c>
      <c r="O127" s="236">
        <f>$D$93*$D$12</f>
        <v>0</v>
      </c>
    </row>
    <row r="128" spans="2:15" ht="15" thickBot="1">
      <c r="B128" s="1500"/>
      <c r="C128" s="11" t="s">
        <v>540</v>
      </c>
      <c r="D128" s="18" t="b">
        <f>IF(INSTRUCTIONS!$Q$8="Advanced", 'Advanced - Principals and APs'!$W$19)</f>
        <v>0</v>
      </c>
      <c r="E128" s="18" t="b">
        <f>IF(INSTRUCTIONS!$Q$8="Advanced", 'Advanced - Principals and APs'!$W$20)</f>
        <v>0</v>
      </c>
      <c r="L128" s="1494"/>
      <c r="M128" s="66" t="str">
        <f>CONCATENATE("Total spending on ",$C$33," assistant principals")</f>
        <v>Total spending on 0 assistant principals</v>
      </c>
      <c r="N128" s="184">
        <f>N127*$E$93</f>
        <v>0</v>
      </c>
      <c r="O128" s="254">
        <f>O127*$F$93</f>
        <v>0</v>
      </c>
    </row>
    <row r="129" spans="2:15" ht="14.45" customHeight="1" thickBot="1">
      <c r="L129" s="1494"/>
      <c r="M129" s="66" t="str">
        <f>CONCATENATE("Total # of ",$C$34," assistant principals")</f>
        <v>Total # of 0 assistant principals</v>
      </c>
      <c r="N129" s="237">
        <f>$D$94*$D$12</f>
        <v>0</v>
      </c>
      <c r="O129" s="237">
        <f>$D$94*$D$12</f>
        <v>0</v>
      </c>
    </row>
    <row r="130" spans="2:15" ht="29.45" thickBot="1">
      <c r="B130" s="364" t="s">
        <v>544</v>
      </c>
      <c r="C130" s="123" t="s">
        <v>545</v>
      </c>
      <c r="D130" s="323" t="b">
        <f>IF(INSTRUCTIONS!$Q$8="Advanced", 'Advanced - Principals and APs'!$V$24)</f>
        <v>0</v>
      </c>
      <c r="L130" s="1494"/>
      <c r="M130" s="66" t="str">
        <f>CONCATENATE("Total spending on ",$C$34," assistant principals")</f>
        <v>Total spending on 0 assistant principals</v>
      </c>
      <c r="N130" s="184">
        <f>N129*$E$94</f>
        <v>0</v>
      </c>
      <c r="O130" s="254">
        <f>O129*$F$94</f>
        <v>0</v>
      </c>
    </row>
    <row r="131" spans="2:15" ht="15" thickBot="1">
      <c r="L131" s="1494"/>
      <c r="M131" s="66" t="str">
        <f>CONCATENATE("Total # of ",$C$35," assistant principals")</f>
        <v>Total # of 0 assistant principals</v>
      </c>
      <c r="N131" s="237">
        <f>$D$95*$D$12</f>
        <v>0</v>
      </c>
      <c r="O131" s="237">
        <f>$D$95*$D$12</f>
        <v>0</v>
      </c>
    </row>
    <row r="132" spans="2:15" ht="15" thickBot="1">
      <c r="B132" s="1547" t="s">
        <v>546</v>
      </c>
      <c r="C132" s="126"/>
      <c r="D132" s="125" t="s">
        <v>170</v>
      </c>
      <c r="E132" s="124" t="s">
        <v>171</v>
      </c>
      <c r="F132" s="124" t="s">
        <v>172</v>
      </c>
      <c r="G132" s="124" t="s">
        <v>173</v>
      </c>
      <c r="H132" s="124" t="s">
        <v>174</v>
      </c>
      <c r="L132" s="1494"/>
      <c r="M132" s="66" t="str">
        <f>CONCATENATE("Total spending on ",$C$35," assistant principals")</f>
        <v>Total spending on 0 assistant principals</v>
      </c>
      <c r="N132" s="184">
        <f>N131*$E$95</f>
        <v>0</v>
      </c>
      <c r="O132" s="254">
        <f>O131*$F$95</f>
        <v>0</v>
      </c>
    </row>
    <row r="133" spans="2:15">
      <c r="B133" s="1503"/>
      <c r="C133" s="108" t="s">
        <v>547</v>
      </c>
      <c r="D133" s="1050">
        <f>D117*(1+$D$130)</f>
        <v>0</v>
      </c>
      <c r="E133" s="1051">
        <f>D133*(1+$D$130)</f>
        <v>0</v>
      </c>
      <c r="F133" s="1051">
        <f t="shared" ref="F133:H133" si="2">E133*(1+$D$130)</f>
        <v>0</v>
      </c>
      <c r="G133" s="1051">
        <f t="shared" si="2"/>
        <v>0</v>
      </c>
      <c r="H133" s="263">
        <f t="shared" si="2"/>
        <v>0</v>
      </c>
      <c r="L133" s="1494"/>
      <c r="M133" s="66" t="str">
        <f>CONCATENATE("Total # of ",$C$36," assistant principals")</f>
        <v>Total # of 0 assistant principals</v>
      </c>
      <c r="N133" s="237">
        <f>$D$96*$D$12</f>
        <v>0</v>
      </c>
      <c r="O133" s="237">
        <f>$D$96*$D$12</f>
        <v>0</v>
      </c>
    </row>
    <row r="134" spans="2:15" ht="15" thickBot="1">
      <c r="B134" s="1503"/>
      <c r="C134" s="109" t="s">
        <v>548</v>
      </c>
      <c r="D134" s="1052">
        <f>D118*(1+D130)</f>
        <v>0</v>
      </c>
      <c r="E134" s="258">
        <f>D134*(1+$D$130)</f>
        <v>0</v>
      </c>
      <c r="F134" s="258">
        <f t="shared" ref="F134:H134" si="3">E134*(1+$D$130)</f>
        <v>0</v>
      </c>
      <c r="G134" s="258">
        <f t="shared" si="3"/>
        <v>0</v>
      </c>
      <c r="H134" s="264">
        <f t="shared" si="3"/>
        <v>0</v>
      </c>
      <c r="L134" s="1494"/>
      <c r="M134" s="66" t="str">
        <f>CONCATENATE("Total spending on ",$C$36," assistant principals")</f>
        <v>Total spending on 0 assistant principals</v>
      </c>
      <c r="N134" s="184">
        <f>N133*$E$96</f>
        <v>0</v>
      </c>
      <c r="O134" s="254">
        <f>O133*$F$96</f>
        <v>0</v>
      </c>
    </row>
    <row r="135" spans="2:15" ht="14.45" customHeight="1">
      <c r="B135" s="1503"/>
      <c r="C135" s="4" t="s">
        <v>549</v>
      </c>
      <c r="D135" s="1052">
        <f>E117*(1+$D$130)</f>
        <v>0</v>
      </c>
      <c r="E135" s="258">
        <f>D135*(1+$D$130)</f>
        <v>0</v>
      </c>
      <c r="F135" s="258">
        <f t="shared" ref="F135:H135" si="4">E135*(1+$D$130)</f>
        <v>0</v>
      </c>
      <c r="G135" s="258">
        <f t="shared" si="4"/>
        <v>0</v>
      </c>
      <c r="H135" s="264">
        <f t="shared" si="4"/>
        <v>0</v>
      </c>
      <c r="L135" s="1494"/>
      <c r="M135" s="22" t="str">
        <f>CONCATENATE("Total # of ",$C$37," principals")</f>
        <v>Total # of 0 principals</v>
      </c>
      <c r="N135" s="237">
        <f>$D$97*$D$12</f>
        <v>0</v>
      </c>
      <c r="O135" s="237">
        <f>$D$97*$D$12</f>
        <v>0</v>
      </c>
    </row>
    <row r="136" spans="2:15" ht="15" thickBot="1">
      <c r="B136" s="1504"/>
      <c r="C136" s="109" t="s">
        <v>550</v>
      </c>
      <c r="D136" s="1053">
        <f>E118*(1+$D$130)</f>
        <v>0</v>
      </c>
      <c r="E136" s="1054">
        <f>D136*(1+$D$130)</f>
        <v>0</v>
      </c>
      <c r="F136" s="1054">
        <f t="shared" ref="F136:H136" si="5">E136*(1+$D$130)</f>
        <v>0</v>
      </c>
      <c r="G136" s="1054">
        <f t="shared" si="5"/>
        <v>0</v>
      </c>
      <c r="H136" s="235">
        <f t="shared" si="5"/>
        <v>0</v>
      </c>
      <c r="L136" s="1494"/>
      <c r="M136" s="22" t="str">
        <f>CONCATENATE("Total spending on ",$C$37," principals")</f>
        <v>Total spending on 0 principals</v>
      </c>
      <c r="N136" s="184">
        <f>N135*E97</f>
        <v>0</v>
      </c>
      <c r="O136" s="184">
        <f>O135*F97</f>
        <v>0</v>
      </c>
    </row>
    <row r="137" spans="2:15" ht="15" thickBot="1">
      <c r="L137" s="1494"/>
      <c r="M137" s="22" t="str">
        <f>CONCATENATE("Total # of ",$C$38," principals")</f>
        <v>Total # of 0 principals</v>
      </c>
      <c r="N137" s="237">
        <f>$D$98*$D$12</f>
        <v>0</v>
      </c>
      <c r="O137" s="237">
        <f>$D$98*$D$12</f>
        <v>0</v>
      </c>
    </row>
    <row r="138" spans="2:15" ht="15" thickBot="1">
      <c r="B138" s="1547" t="s">
        <v>247</v>
      </c>
      <c r="C138" s="126"/>
      <c r="D138" s="125" t="s">
        <v>170</v>
      </c>
      <c r="E138" s="124" t="s">
        <v>171</v>
      </c>
      <c r="F138" s="124" t="s">
        <v>172</v>
      </c>
      <c r="G138" s="124" t="s">
        <v>173</v>
      </c>
      <c r="H138" s="124" t="s">
        <v>174</v>
      </c>
      <c r="L138" s="1494"/>
      <c r="M138" s="22" t="str">
        <f>CONCATENATE("Total spending on ",$C$38," principals")</f>
        <v>Total spending on 0 principals</v>
      </c>
      <c r="N138" s="184">
        <f>N137*E98</f>
        <v>0</v>
      </c>
      <c r="O138" s="184">
        <f>O137*F98</f>
        <v>0</v>
      </c>
    </row>
    <row r="139" spans="2:15">
      <c r="B139" s="1503"/>
      <c r="C139" s="108" t="s">
        <v>547</v>
      </c>
      <c r="D139" s="1050">
        <f>D122*(1+$D$130)</f>
        <v>0</v>
      </c>
      <c r="E139" s="1051">
        <f>D139*(1+$D$130)</f>
        <v>0</v>
      </c>
      <c r="F139" s="1051">
        <f t="shared" ref="F139:H139" si="6">E139*(1+$D$130)</f>
        <v>0</v>
      </c>
      <c r="G139" s="1051">
        <f t="shared" si="6"/>
        <v>0</v>
      </c>
      <c r="H139" s="263">
        <f t="shared" si="6"/>
        <v>0</v>
      </c>
      <c r="L139" s="1494"/>
      <c r="M139" s="22" t="str">
        <f>CONCATENATE("Total # of ",$C$39," principals")</f>
        <v>Total # of 0 principals</v>
      </c>
      <c r="N139" s="237">
        <f>$D$99*$D$12</f>
        <v>0</v>
      </c>
      <c r="O139" s="237">
        <f>$D$99*$D$12</f>
        <v>0</v>
      </c>
    </row>
    <row r="140" spans="2:15" ht="15" thickBot="1">
      <c r="B140" s="1503"/>
      <c r="C140" s="109" t="s">
        <v>548</v>
      </c>
      <c r="D140" s="1052">
        <f>D123*(1+$D$130)</f>
        <v>0</v>
      </c>
      <c r="E140" s="258">
        <f>D140*(1+$D$130)</f>
        <v>0</v>
      </c>
      <c r="F140" s="258">
        <f t="shared" ref="F140:H140" si="7">E140*(1+$D$130)</f>
        <v>0</v>
      </c>
      <c r="G140" s="258">
        <f t="shared" si="7"/>
        <v>0</v>
      </c>
      <c r="H140" s="264">
        <f t="shared" si="7"/>
        <v>0</v>
      </c>
      <c r="L140" s="1494"/>
      <c r="M140" s="22" t="str">
        <f>CONCATENATE("Total spending on ",$C$39," principals")</f>
        <v>Total spending on 0 principals</v>
      </c>
      <c r="N140" s="184">
        <f>N139*E99</f>
        <v>0</v>
      </c>
      <c r="O140" s="184">
        <f>O139*F99</f>
        <v>0</v>
      </c>
    </row>
    <row r="141" spans="2:15" ht="14.45" customHeight="1">
      <c r="B141" s="1503"/>
      <c r="C141" s="4" t="s">
        <v>549</v>
      </c>
      <c r="D141" s="1052">
        <f>E122*(1+$D$130)</f>
        <v>0</v>
      </c>
      <c r="E141" s="258">
        <f>D141*(1+$D$130)</f>
        <v>0</v>
      </c>
      <c r="F141" s="258">
        <f t="shared" ref="F141:H141" si="8">E141*(1+$D$130)</f>
        <v>0</v>
      </c>
      <c r="G141" s="258">
        <f t="shared" si="8"/>
        <v>0</v>
      </c>
      <c r="H141" s="264">
        <f t="shared" si="8"/>
        <v>0</v>
      </c>
      <c r="L141" s="1494"/>
      <c r="M141" s="22" t="str">
        <f>CONCATENATE("Total # of ",$C$40," principals")</f>
        <v>Total # of 0 principals</v>
      </c>
      <c r="N141" s="237">
        <f>$D$100*$D$12</f>
        <v>0</v>
      </c>
      <c r="O141" s="237">
        <f>$D$100*$D$12</f>
        <v>0</v>
      </c>
    </row>
    <row r="142" spans="2:15" ht="15" thickBot="1">
      <c r="B142" s="1504"/>
      <c r="C142" s="109" t="s">
        <v>550</v>
      </c>
      <c r="D142" s="1053">
        <f>E123*(1+$D$130)</f>
        <v>0</v>
      </c>
      <c r="E142" s="1054">
        <f>D142*(1+$D$130)</f>
        <v>0</v>
      </c>
      <c r="F142" s="1054">
        <f t="shared" ref="F142:H142" si="9">E142*(1+$D$130)</f>
        <v>0</v>
      </c>
      <c r="G142" s="1054">
        <f t="shared" si="9"/>
        <v>0</v>
      </c>
      <c r="H142" s="235">
        <f t="shared" si="9"/>
        <v>0</v>
      </c>
      <c r="L142" s="1494"/>
      <c r="M142" s="22" t="str">
        <f>CONCATENATE("Total spending on ",$C$40," principals")</f>
        <v>Total spending on 0 principals</v>
      </c>
      <c r="N142" s="184">
        <f>N141*E100</f>
        <v>0</v>
      </c>
      <c r="O142" s="184">
        <f>O141*F100</f>
        <v>0</v>
      </c>
    </row>
    <row r="143" spans="2:15" ht="15" thickBot="1">
      <c r="L143" s="1494"/>
      <c r="M143" s="22" t="str">
        <f>CONCATENATE("Total # of ",$C$41," principals")</f>
        <v>Total # of 0 principals</v>
      </c>
      <c r="N143" s="237">
        <f>$D$101*$D$12</f>
        <v>0</v>
      </c>
      <c r="O143" s="237">
        <f>$D$101*$D$12</f>
        <v>0</v>
      </c>
    </row>
    <row r="144" spans="2:15" ht="15" thickBot="1">
      <c r="D144" s="125" t="s">
        <v>170</v>
      </c>
      <c r="E144" s="124" t="s">
        <v>171</v>
      </c>
      <c r="F144" s="124" t="s">
        <v>172</v>
      </c>
      <c r="G144" s="124" t="s">
        <v>173</v>
      </c>
      <c r="H144" s="124" t="s">
        <v>174</v>
      </c>
      <c r="L144" s="1494"/>
      <c r="M144" s="22" t="str">
        <f>CONCATENATE("Total spending on ",$C$41," principals")</f>
        <v>Total spending on 0 principals</v>
      </c>
      <c r="N144" s="184">
        <f>N143*E101</f>
        <v>0</v>
      </c>
      <c r="O144" s="184">
        <f>O143*F101</f>
        <v>0</v>
      </c>
    </row>
    <row r="145" spans="2:15">
      <c r="B145" s="1547" t="s">
        <v>248</v>
      </c>
      <c r="C145" s="108" t="s">
        <v>547</v>
      </c>
      <c r="D145" s="1050">
        <f>D127*(1+$D$130)</f>
        <v>0</v>
      </c>
      <c r="E145" s="1051">
        <f>D145*(1+$D$130)</f>
        <v>0</v>
      </c>
      <c r="F145" s="1051">
        <f t="shared" ref="F145:H145" si="10">E145*(1+$D$130)</f>
        <v>0</v>
      </c>
      <c r="G145" s="1051">
        <f t="shared" si="10"/>
        <v>0</v>
      </c>
      <c r="H145" s="263">
        <f t="shared" si="10"/>
        <v>0</v>
      </c>
      <c r="L145" s="1494"/>
      <c r="M145" s="66" t="s">
        <v>351</v>
      </c>
      <c r="N145" s="237">
        <f>SUM(N127,N129,N131,N133,N135,N137,N139,N141,N143)</f>
        <v>0</v>
      </c>
      <c r="O145" s="237">
        <f>SUM(O127,O129,O131,O133,O135,O137,O139,O141,O143)</f>
        <v>0</v>
      </c>
    </row>
    <row r="146" spans="2:15" ht="15" thickBot="1">
      <c r="B146" s="1503"/>
      <c r="C146" s="109" t="s">
        <v>548</v>
      </c>
      <c r="D146" s="1052">
        <f>D128*(1+$D$130)</f>
        <v>0</v>
      </c>
      <c r="E146" s="258">
        <f>D146*(1+$D$130)</f>
        <v>0</v>
      </c>
      <c r="F146" s="258">
        <f t="shared" ref="F146:H146" si="11">E146*(1+$D$130)</f>
        <v>0</v>
      </c>
      <c r="G146" s="258">
        <f t="shared" si="11"/>
        <v>0</v>
      </c>
      <c r="H146" s="264">
        <f t="shared" si="11"/>
        <v>0</v>
      </c>
      <c r="L146" s="1495"/>
      <c r="M146" s="146" t="s">
        <v>395</v>
      </c>
      <c r="N146" s="239">
        <f>SUM(N128,N130,N132,N134,N136,N138,N140,N142,N144)</f>
        <v>0</v>
      </c>
      <c r="O146" s="239">
        <f>SUM(O128,O130,O132,O134,O136,O138,O140,O142,O144)</f>
        <v>0</v>
      </c>
    </row>
    <row r="147" spans="2:15" ht="14.45" customHeight="1" thickBot="1">
      <c r="B147" s="1503"/>
      <c r="C147" s="4" t="s">
        <v>549</v>
      </c>
      <c r="D147" s="1052">
        <f>E127*(1+$D$130)</f>
        <v>0</v>
      </c>
      <c r="E147" s="258">
        <f>D147*(1+$D$130)</f>
        <v>0</v>
      </c>
      <c r="F147" s="258">
        <f t="shared" ref="F147:H147" si="12">E147*(1+$D$130)</f>
        <v>0</v>
      </c>
      <c r="G147" s="258">
        <f t="shared" si="12"/>
        <v>0</v>
      </c>
      <c r="H147" s="264">
        <f t="shared" si="12"/>
        <v>0</v>
      </c>
    </row>
    <row r="148" spans="2:15" ht="15" thickBot="1">
      <c r="B148" s="1504"/>
      <c r="C148" s="109" t="s">
        <v>550</v>
      </c>
      <c r="D148" s="1053">
        <f>E128*(1+$D$130)</f>
        <v>0</v>
      </c>
      <c r="E148" s="1054">
        <f>D148*(1+$D$130)</f>
        <v>0</v>
      </c>
      <c r="F148" s="1054">
        <f t="shared" ref="F148:H148" si="13">E148*(1+$D$130)</f>
        <v>0</v>
      </c>
      <c r="G148" s="1054">
        <f t="shared" si="13"/>
        <v>0</v>
      </c>
      <c r="H148" s="235">
        <f t="shared" si="13"/>
        <v>0</v>
      </c>
      <c r="L148" s="265"/>
      <c r="M148" s="266"/>
      <c r="N148" s="267" t="s">
        <v>85</v>
      </c>
      <c r="O148" s="268" t="s">
        <v>86</v>
      </c>
    </row>
    <row r="149" spans="2:15" ht="29.45" thickBot="1">
      <c r="L149" s="107" t="s">
        <v>398</v>
      </c>
      <c r="M149" s="127" t="s">
        <v>399</v>
      </c>
      <c r="N149" s="269">
        <f>SUM(N36, N58, N80, N102, N124, N146)</f>
        <v>0</v>
      </c>
      <c r="O149" s="270">
        <f>SUM(O36, O58, O80, O102, O124, O146)</f>
        <v>0</v>
      </c>
    </row>
    <row r="150" spans="2:15" ht="15" thickBot="1"/>
    <row r="151" spans="2:15" ht="15" thickBot="1">
      <c r="L151" s="93"/>
      <c r="M151" s="123"/>
      <c r="N151" s="125" t="s">
        <v>85</v>
      </c>
      <c r="O151" s="124" t="s">
        <v>86</v>
      </c>
    </row>
    <row r="152" spans="2:15">
      <c r="L152" s="1488" t="s">
        <v>551</v>
      </c>
      <c r="M152" s="89" t="s">
        <v>552</v>
      </c>
      <c r="N152" s="243">
        <f>$D$104*$D$5</f>
        <v>0</v>
      </c>
      <c r="O152" s="243">
        <f>$E$104*$D$5</f>
        <v>0</v>
      </c>
    </row>
    <row r="153" spans="2:15">
      <c r="L153" s="1489"/>
      <c r="M153" s="22" t="s">
        <v>553</v>
      </c>
      <c r="N153" s="212">
        <f>N152*$F$104</f>
        <v>0</v>
      </c>
      <c r="O153" s="212">
        <f>O152*$G$104</f>
        <v>0</v>
      </c>
    </row>
    <row r="154" spans="2:15">
      <c r="L154" s="1489"/>
      <c r="M154" t="s">
        <v>554</v>
      </c>
      <c r="N154" s="237">
        <f>$D$105*$D$6</f>
        <v>0</v>
      </c>
      <c r="O154" s="237">
        <f>$E$105*$D$6</f>
        <v>0</v>
      </c>
    </row>
    <row r="155" spans="2:15" ht="15" thickBot="1">
      <c r="L155" s="1490"/>
      <c r="M155" s="48" t="s">
        <v>555</v>
      </c>
      <c r="N155" s="240">
        <f>N154*$F$105</f>
        <v>0</v>
      </c>
      <c r="O155" s="240">
        <f>O154*$G$105</f>
        <v>0</v>
      </c>
    </row>
    <row r="156" spans="2:15" ht="15" thickBot="1"/>
    <row r="157" spans="2:15" ht="15" thickBot="1">
      <c r="L157" s="93"/>
      <c r="M157" s="123"/>
      <c r="N157" s="125" t="s">
        <v>85</v>
      </c>
      <c r="O157" s="124" t="s">
        <v>86</v>
      </c>
    </row>
    <row r="158" spans="2:15">
      <c r="L158" s="1488" t="s">
        <v>556</v>
      </c>
      <c r="M158" s="89" t="s">
        <v>552</v>
      </c>
      <c r="N158" s="243">
        <f>$D$108*$D$8</f>
        <v>0</v>
      </c>
      <c r="O158" s="243">
        <f>$E$108*$D$8</f>
        <v>0</v>
      </c>
    </row>
    <row r="159" spans="2:15">
      <c r="L159" s="1489"/>
      <c r="M159" s="22" t="s">
        <v>553</v>
      </c>
      <c r="N159" s="212">
        <f>N158*$F$108</f>
        <v>0</v>
      </c>
      <c r="O159" s="212">
        <f>O158*$G$108</f>
        <v>0</v>
      </c>
    </row>
    <row r="160" spans="2:15">
      <c r="L160" s="1489"/>
      <c r="M160" t="s">
        <v>554</v>
      </c>
      <c r="N160" s="237">
        <f>$D$109*$D$9</f>
        <v>0</v>
      </c>
      <c r="O160" s="237">
        <f>$E$109*$D$9</f>
        <v>0</v>
      </c>
    </row>
    <row r="161" spans="12:15" ht="15" thickBot="1">
      <c r="L161" s="1490"/>
      <c r="M161" s="48" t="s">
        <v>555</v>
      </c>
      <c r="N161" s="240">
        <f>N160*$F$109</f>
        <v>0</v>
      </c>
      <c r="O161" s="240">
        <f>O160*$G$109</f>
        <v>0</v>
      </c>
    </row>
    <row r="162" spans="12:15" ht="15" thickBot="1"/>
    <row r="163" spans="12:15" ht="15" thickBot="1">
      <c r="L163" s="93"/>
      <c r="M163" s="123"/>
      <c r="N163" s="125" t="s">
        <v>85</v>
      </c>
      <c r="O163" s="124" t="s">
        <v>86</v>
      </c>
    </row>
    <row r="164" spans="12:15">
      <c r="L164" s="1488" t="s">
        <v>557</v>
      </c>
      <c r="M164" s="89" t="s">
        <v>552</v>
      </c>
      <c r="N164" s="243">
        <f>$D$112*$D$11</f>
        <v>0</v>
      </c>
      <c r="O164" s="243">
        <f>$E$112*$D$11</f>
        <v>0</v>
      </c>
    </row>
    <row r="165" spans="12:15">
      <c r="L165" s="1489"/>
      <c r="M165" s="22" t="s">
        <v>553</v>
      </c>
      <c r="N165" s="212">
        <f>N164*$F$112</f>
        <v>0</v>
      </c>
      <c r="O165" s="212">
        <f>O164*$G$112</f>
        <v>0</v>
      </c>
    </row>
    <row r="166" spans="12:15">
      <c r="L166" s="1489"/>
      <c r="M166" t="s">
        <v>554</v>
      </c>
      <c r="N166" s="237">
        <f>$D$113*$D$12</f>
        <v>0</v>
      </c>
      <c r="O166" s="237">
        <f>$E$113*$D$12</f>
        <v>0</v>
      </c>
    </row>
    <row r="167" spans="12:15" ht="15" thickBot="1">
      <c r="L167" s="1490"/>
      <c r="M167" s="48" t="s">
        <v>555</v>
      </c>
      <c r="N167" s="240">
        <f>N166*$F$113</f>
        <v>0</v>
      </c>
      <c r="O167" s="240">
        <f>O166*$G$113</f>
        <v>0</v>
      </c>
    </row>
    <row r="168" spans="12:15" ht="15" thickBot="1"/>
    <row r="169" spans="12:15" ht="15" thickBot="1">
      <c r="L169" s="93"/>
      <c r="M169" s="123"/>
      <c r="N169" s="125" t="s">
        <v>85</v>
      </c>
      <c r="O169" s="124" t="s">
        <v>86</v>
      </c>
    </row>
    <row r="170" spans="12:15" ht="29.45" thickBot="1">
      <c r="L170" s="277" t="s">
        <v>406</v>
      </c>
      <c r="M170" s="48" t="s">
        <v>558</v>
      </c>
      <c r="N170" s="65">
        <f>SUM(N153,N155,N159,N161,N165,N167)</f>
        <v>0</v>
      </c>
      <c r="O170" s="235">
        <f>SUM(O153,O155,O159,O161,O165,O167)</f>
        <v>0</v>
      </c>
    </row>
    <row r="171" spans="12:15" ht="15" thickBot="1"/>
    <row r="172" spans="12:15" ht="15" thickBot="1">
      <c r="L172" s="93"/>
      <c r="M172" s="123"/>
      <c r="N172" s="125" t="s">
        <v>85</v>
      </c>
      <c r="O172" s="124" t="s">
        <v>86</v>
      </c>
    </row>
    <row r="173" spans="12:15">
      <c r="L173" s="1513" t="s">
        <v>103</v>
      </c>
      <c r="M173" s="10" t="s">
        <v>408</v>
      </c>
      <c r="N173" s="211">
        <f>$D$27*SUM(N5, N9, N13)</f>
        <v>0</v>
      </c>
      <c r="O173" s="263">
        <f>$D$27*SUM(O5, O9, O13)</f>
        <v>0</v>
      </c>
    </row>
    <row r="174" spans="12:15">
      <c r="L174" s="1514"/>
      <c r="M174" s="100" t="s">
        <v>409</v>
      </c>
      <c r="N174" s="212">
        <f>$D$28*SUM(N36, N80, N124, N153, N159, N165)</f>
        <v>0</v>
      </c>
      <c r="O174" s="264">
        <f>$D$28*SUM(O36, O80, O124, O153, O159, O165)</f>
        <v>0</v>
      </c>
    </row>
    <row r="175" spans="12:15">
      <c r="L175" s="1514"/>
      <c r="M175" s="100" t="s">
        <v>410</v>
      </c>
      <c r="N175" s="184">
        <f>$D$27*SUM(N6, N10, N14)</f>
        <v>0</v>
      </c>
      <c r="O175" s="264">
        <f>$D$27*SUM(O6, O10, O14)</f>
        <v>0</v>
      </c>
    </row>
    <row r="176" spans="12:15">
      <c r="L176" s="1514"/>
      <c r="M176" s="100" t="s">
        <v>411</v>
      </c>
      <c r="N176" s="255">
        <f>$D$28*SUM(N58, N102, N146, N155, N161, N167 )</f>
        <v>0</v>
      </c>
      <c r="O176" s="254">
        <f>$D$28*SUM(O58, O102, O146, O155, O161, O167 )</f>
        <v>0</v>
      </c>
    </row>
    <row r="177" spans="12:19" ht="15" thickBot="1">
      <c r="L177" s="1515"/>
      <c r="M177" s="11" t="s">
        <v>412</v>
      </c>
      <c r="N177" s="240">
        <f>SUM(N173:N176)</f>
        <v>0</v>
      </c>
      <c r="O177" s="235">
        <f>SUM(O173:O176)</f>
        <v>0</v>
      </c>
    </row>
    <row r="178" spans="12:19" ht="15" thickBot="1"/>
    <row r="179" spans="12:19" ht="15" thickBot="1">
      <c r="L179" s="93"/>
      <c r="M179" s="123"/>
      <c r="N179" s="125" t="s">
        <v>85</v>
      </c>
      <c r="O179" s="124" t="s">
        <v>86</v>
      </c>
    </row>
    <row r="180" spans="12:19">
      <c r="L180" s="1510" t="s">
        <v>356</v>
      </c>
      <c r="M180" s="160" t="s">
        <v>414</v>
      </c>
      <c r="N180" s="170">
        <f>SUM(N5,N9,N13,N36,N80,N124,N153,N159,N165,N173,N174)</f>
        <v>0</v>
      </c>
      <c r="O180" s="263">
        <f>SUM(O5,O9,O13,O36,O80,O124,O153,O159,O165,O173,O174)</f>
        <v>0</v>
      </c>
    </row>
    <row r="181" spans="12:19">
      <c r="L181" s="1511"/>
      <c r="M181" s="9" t="s">
        <v>559</v>
      </c>
      <c r="N181" s="184">
        <f>SUM(N5,N9,N13, N36,N80, N124, N153, N159, N165)</f>
        <v>0</v>
      </c>
      <c r="O181" s="184">
        <f>SUM(O5,O9,O13, O36,O80, O124, O153, O159, O165)</f>
        <v>0</v>
      </c>
    </row>
    <row r="182" spans="12:19">
      <c r="L182" s="1511"/>
      <c r="M182" s="9" t="s">
        <v>560</v>
      </c>
      <c r="N182" s="184" t="e">
        <f>N181/SUM(D5,D8,D11)</f>
        <v>#DIV/0!</v>
      </c>
      <c r="O182" s="264" t="e">
        <f>O181/SUM(D6,D9,D12)</f>
        <v>#DIV/0!</v>
      </c>
    </row>
    <row r="183" spans="12:19">
      <c r="L183" s="1511"/>
      <c r="M183" s="9" t="s">
        <v>417</v>
      </c>
      <c r="N183" s="184">
        <f>SUM(N6,N10,N14,N58,N102,N146,N155,N161,N167,N175,N176)</f>
        <v>0</v>
      </c>
      <c r="O183" s="264">
        <f>SUM(O6,O10,O14,O58,O102,O146,O155,O161,O167,O175,O176)</f>
        <v>0</v>
      </c>
    </row>
    <row r="184" spans="12:19">
      <c r="L184" s="1511"/>
      <c r="M184" s="9" t="s">
        <v>418</v>
      </c>
      <c r="N184" s="184">
        <f>SUM(N6,N10,N14, N58, N102, N146, N155, N161, N167)</f>
        <v>0</v>
      </c>
      <c r="O184" s="184">
        <f>SUM(O6,O10,O14, O58, O102, O146, O155, O161, O167)</f>
        <v>0</v>
      </c>
    </row>
    <row r="185" spans="12:19">
      <c r="L185" s="1511"/>
      <c r="M185" s="9" t="s">
        <v>561</v>
      </c>
      <c r="N185" s="184" t="e">
        <f>N184/SUM(D6,D9,D12)</f>
        <v>#DIV/0!</v>
      </c>
      <c r="O185" s="264" t="e">
        <f>O184/SUM(D6,D9,D12)</f>
        <v>#DIV/0!</v>
      </c>
    </row>
    <row r="186" spans="12:19">
      <c r="L186" s="1511"/>
      <c r="M186" s="9" t="s">
        <v>420</v>
      </c>
      <c r="N186" s="184">
        <f>SUM(N180,N183)</f>
        <v>0</v>
      </c>
      <c r="O186" s="264">
        <f>SUM(O180,O183)</f>
        <v>0</v>
      </c>
    </row>
    <row r="187" spans="12:19">
      <c r="L187" s="1511"/>
      <c r="M187" s="9" t="s">
        <v>562</v>
      </c>
      <c r="N187" s="184">
        <f>SUM(N181,N184)</f>
        <v>0</v>
      </c>
      <c r="O187" s="264">
        <f>SUM(O181,O184)</f>
        <v>0</v>
      </c>
    </row>
    <row r="188" spans="12:19">
      <c r="L188" s="1511"/>
      <c r="M188" s="9" t="s">
        <v>421</v>
      </c>
      <c r="N188" s="184">
        <f>N187+N170+N149</f>
        <v>0</v>
      </c>
      <c r="O188" s="264">
        <f>O187+O170+O149</f>
        <v>0</v>
      </c>
    </row>
    <row r="189" spans="12:19" ht="15" thickBot="1">
      <c r="L189" s="1512"/>
      <c r="M189" s="337" t="s">
        <v>422</v>
      </c>
      <c r="N189" s="240" t="e">
        <f>N188/SUM(D5:D6, D8:D9, D11:D12)</f>
        <v>#DIV/0!</v>
      </c>
      <c r="O189" s="235" t="e">
        <f>O188/SUM(D5:D6, D8:D9, D11:D12)</f>
        <v>#DIV/0!</v>
      </c>
    </row>
    <row r="190" spans="12:19" ht="15" thickBot="1"/>
    <row r="191" spans="12:19" ht="15" thickBot="1">
      <c r="L191" s="93"/>
      <c r="M191" s="123"/>
      <c r="N191" s="125" t="s">
        <v>170</v>
      </c>
      <c r="O191" s="124" t="s">
        <v>171</v>
      </c>
      <c r="P191" s="124" t="s">
        <v>172</v>
      </c>
      <c r="Q191" s="124" t="s">
        <v>173</v>
      </c>
      <c r="R191" s="124" t="s">
        <v>174</v>
      </c>
      <c r="S191" s="124" t="s">
        <v>361</v>
      </c>
    </row>
    <row r="192" spans="12:19">
      <c r="L192" s="1499" t="s">
        <v>563</v>
      </c>
      <c r="M192" t="s">
        <v>564</v>
      </c>
      <c r="N192" s="257">
        <f>(D133-D134)*($D$116*$D$5)</f>
        <v>0</v>
      </c>
      <c r="O192" s="257">
        <f t="shared" ref="O192:R192" si="14">(E133-E134)*($D$116*$D$5)</f>
        <v>0</v>
      </c>
      <c r="P192" s="257">
        <f t="shared" si="14"/>
        <v>0</v>
      </c>
      <c r="Q192" s="257">
        <f t="shared" si="14"/>
        <v>0</v>
      </c>
      <c r="R192" s="257">
        <f t="shared" si="14"/>
        <v>0</v>
      </c>
      <c r="S192" s="264">
        <f>SUM(N192:R192)</f>
        <v>0</v>
      </c>
    </row>
    <row r="193" spans="12:19">
      <c r="L193" s="1499"/>
      <c r="M193" t="s">
        <v>565</v>
      </c>
      <c r="N193" s="365">
        <f>(D135-D136)*($E$116*$D$6)</f>
        <v>0</v>
      </c>
      <c r="O193" s="365">
        <f t="shared" ref="O193:R193" si="15">(E135-E136)*($E$116*$D$6)</f>
        <v>0</v>
      </c>
      <c r="P193" s="365">
        <f t="shared" si="15"/>
        <v>0</v>
      </c>
      <c r="Q193" s="365">
        <f t="shared" si="15"/>
        <v>0</v>
      </c>
      <c r="R193" s="365">
        <f t="shared" si="15"/>
        <v>0</v>
      </c>
      <c r="S193" s="264">
        <f>SUM(N193:R193)</f>
        <v>0</v>
      </c>
    </row>
    <row r="194" spans="12:19">
      <c r="L194" s="1499"/>
      <c r="M194" t="s">
        <v>566</v>
      </c>
      <c r="N194" s="365">
        <f>(D139-D140)*($D$121*$D$8)</f>
        <v>0</v>
      </c>
      <c r="O194" s="365">
        <f t="shared" ref="O194:R194" si="16">(E139-E140)*($D$121*$D$8)</f>
        <v>0</v>
      </c>
      <c r="P194" s="365">
        <f t="shared" si="16"/>
        <v>0</v>
      </c>
      <c r="Q194" s="365">
        <f t="shared" si="16"/>
        <v>0</v>
      </c>
      <c r="R194" s="365">
        <f t="shared" si="16"/>
        <v>0</v>
      </c>
      <c r="S194" s="264">
        <f t="shared" ref="S194:S196" si="17">SUM(N194:R194)</f>
        <v>0</v>
      </c>
    </row>
    <row r="195" spans="12:19">
      <c r="L195" s="1499"/>
      <c r="M195" t="s">
        <v>567</v>
      </c>
      <c r="N195" s="365">
        <f>(D141-D142)*($E$121*$D$9)</f>
        <v>0</v>
      </c>
      <c r="O195" s="365">
        <f t="shared" ref="O195:R195" si="18">(E141-E142)*($E$121*$D$9)</f>
        <v>0</v>
      </c>
      <c r="P195" s="365">
        <f t="shared" si="18"/>
        <v>0</v>
      </c>
      <c r="Q195" s="365">
        <f t="shared" si="18"/>
        <v>0</v>
      </c>
      <c r="R195" s="365">
        <f t="shared" si="18"/>
        <v>0</v>
      </c>
      <c r="S195" s="264">
        <f t="shared" si="17"/>
        <v>0</v>
      </c>
    </row>
    <row r="196" spans="12:19">
      <c r="L196" s="1499"/>
      <c r="M196" t="s">
        <v>568</v>
      </c>
      <c r="N196" s="365">
        <f>(D145-D146)*($D$126*$D$11)</f>
        <v>0</v>
      </c>
      <c r="O196" s="365">
        <f t="shared" ref="O196:R196" si="19">(E145-E146)*($D$126*$D$11)</f>
        <v>0</v>
      </c>
      <c r="P196" s="365">
        <f t="shared" si="19"/>
        <v>0</v>
      </c>
      <c r="Q196" s="365">
        <f t="shared" si="19"/>
        <v>0</v>
      </c>
      <c r="R196" s="365">
        <f t="shared" si="19"/>
        <v>0</v>
      </c>
      <c r="S196" s="264">
        <f t="shared" si="17"/>
        <v>0</v>
      </c>
    </row>
    <row r="197" spans="12:19" ht="15" thickBot="1">
      <c r="L197" s="1500"/>
      <c r="M197" s="97" t="s">
        <v>569</v>
      </c>
      <c r="N197" s="366">
        <f>(D147-D148)*($E$126*$D$12)</f>
        <v>0</v>
      </c>
      <c r="O197" s="366">
        <f t="shared" ref="O197:R197" si="20">(E147-E148)*($E$126*$D$12)</f>
        <v>0</v>
      </c>
      <c r="P197" s="366">
        <f t="shared" si="20"/>
        <v>0</v>
      </c>
      <c r="Q197" s="366">
        <f t="shared" si="20"/>
        <v>0</v>
      </c>
      <c r="R197" s="366">
        <f t="shared" si="20"/>
        <v>0</v>
      </c>
      <c r="S197" s="264">
        <f>SUM(N197:R197)</f>
        <v>0</v>
      </c>
    </row>
    <row r="198" spans="12:19" ht="15" thickBot="1"/>
    <row r="199" spans="12:19" ht="15" thickBot="1">
      <c r="L199" s="262"/>
      <c r="M199" s="217"/>
      <c r="N199" s="125" t="s">
        <v>170</v>
      </c>
      <c r="O199" s="124" t="s">
        <v>171</v>
      </c>
      <c r="P199" s="124" t="s">
        <v>172</v>
      </c>
      <c r="Q199" s="124" t="s">
        <v>173</v>
      </c>
      <c r="R199" s="124" t="s">
        <v>174</v>
      </c>
      <c r="S199" s="124" t="s">
        <v>361</v>
      </c>
    </row>
    <row r="200" spans="12:19">
      <c r="L200" s="1507" t="s">
        <v>426</v>
      </c>
      <c r="M200" s="10" t="s">
        <v>427</v>
      </c>
      <c r="N200" s="170">
        <f>SUM(N192:N197)</f>
        <v>0</v>
      </c>
      <c r="O200" s="170">
        <f t="shared" ref="O200:Q200" si="21">SUM(O192:O197)</f>
        <v>0</v>
      </c>
      <c r="P200" s="170">
        <f t="shared" si="21"/>
        <v>0</v>
      </c>
      <c r="Q200" s="170">
        <f t="shared" si="21"/>
        <v>0</v>
      </c>
      <c r="R200" s="170">
        <f>SUM(R192:R197)</f>
        <v>0</v>
      </c>
      <c r="S200" s="263">
        <f>SUM(S192:S197)</f>
        <v>0</v>
      </c>
    </row>
    <row r="201" spans="12:19">
      <c r="L201" s="1508"/>
      <c r="M201" s="100" t="s">
        <v>428</v>
      </c>
      <c r="N201" s="184">
        <f>$D$130*O187</f>
        <v>0</v>
      </c>
      <c r="O201" s="264">
        <f>SUM(O187, N201)*$D$130</f>
        <v>0</v>
      </c>
      <c r="P201" s="264">
        <f>SUM(O187, N201:O201)*$D$130</f>
        <v>0</v>
      </c>
      <c r="Q201" s="264">
        <f>SUM(O187, N201:P201)*$D$130</f>
        <v>0</v>
      </c>
      <c r="R201" s="264">
        <f>SUM(O187, N201:Q201)*$D$130</f>
        <v>0</v>
      </c>
      <c r="S201" s="264">
        <f>SUM(N201:R201)</f>
        <v>0</v>
      </c>
    </row>
    <row r="202" spans="12:19" ht="15" thickBot="1">
      <c r="L202" s="1508"/>
      <c r="M202" s="100" t="s">
        <v>429</v>
      </c>
      <c r="N202" s="184">
        <f>$D$29*O177</f>
        <v>0</v>
      </c>
      <c r="O202" s="264">
        <f>SUM(O177, N202)*$D$29</f>
        <v>0</v>
      </c>
      <c r="P202" s="264">
        <f>SUM(O177, N202:O202)*$D$29</f>
        <v>0</v>
      </c>
      <c r="Q202" s="264">
        <f>SUM(O177, N202:P202)*$D$29</f>
        <v>0</v>
      </c>
      <c r="R202" s="264">
        <f>SUM(O177, N202:Q202)*$D$29</f>
        <v>0</v>
      </c>
      <c r="S202" s="264">
        <f>SUM(N202:R202)</f>
        <v>0</v>
      </c>
    </row>
    <row r="203" spans="12:19" ht="15" thickBot="1">
      <c r="L203" s="1509"/>
      <c r="M203" s="262" t="s">
        <v>430</v>
      </c>
      <c r="N203" s="65">
        <f>SUM(N200:N202)</f>
        <v>0</v>
      </c>
      <c r="O203" s="65">
        <f t="shared" ref="O203:R203" si="22">SUM(O200:O202)</f>
        <v>0</v>
      </c>
      <c r="P203" s="65">
        <f t="shared" si="22"/>
        <v>0</v>
      </c>
      <c r="Q203" s="65">
        <f t="shared" si="22"/>
        <v>0</v>
      </c>
      <c r="R203" s="65">
        <f t="shared" si="22"/>
        <v>0</v>
      </c>
      <c r="S203" s="95">
        <f>SUM(S200:S202)</f>
        <v>0</v>
      </c>
    </row>
    <row r="204" spans="12:19" ht="15" thickBot="1"/>
    <row r="205" spans="12:19" ht="15" thickBot="1">
      <c r="L205" s="93"/>
      <c r="M205" s="123"/>
      <c r="N205" s="125" t="s">
        <v>170</v>
      </c>
      <c r="O205" s="124" t="s">
        <v>171</v>
      </c>
      <c r="P205" s="124" t="s">
        <v>172</v>
      </c>
      <c r="Q205" s="124" t="s">
        <v>173</v>
      </c>
      <c r="R205" s="124" t="s">
        <v>174</v>
      </c>
      <c r="S205" s="124" t="s">
        <v>361</v>
      </c>
    </row>
    <row r="206" spans="12:19">
      <c r="L206" s="1499" t="s">
        <v>570</v>
      </c>
      <c r="M206" t="s">
        <v>564</v>
      </c>
      <c r="N206" s="257">
        <f>(D133-D134)*($D$116*$D$5)</f>
        <v>0</v>
      </c>
      <c r="O206" s="257">
        <f t="shared" ref="O206:R206" si="23">(E133-E134)*($D$116*$D$5)</f>
        <v>0</v>
      </c>
      <c r="P206" s="257">
        <f t="shared" si="23"/>
        <v>0</v>
      </c>
      <c r="Q206" s="257">
        <f t="shared" si="23"/>
        <v>0</v>
      </c>
      <c r="R206" s="257">
        <f t="shared" si="23"/>
        <v>0</v>
      </c>
      <c r="S206" s="264">
        <f>SUM(N206:R206)</f>
        <v>0</v>
      </c>
    </row>
    <row r="207" spans="12:19">
      <c r="L207" s="1499"/>
      <c r="M207" t="s">
        <v>565</v>
      </c>
      <c r="N207" s="365">
        <f>(D135-D136)*($E$116*$D$6)</f>
        <v>0</v>
      </c>
      <c r="O207" s="365">
        <f t="shared" ref="O207:R207" si="24">(E135-E136)*($E$116*$D$6)</f>
        <v>0</v>
      </c>
      <c r="P207" s="365">
        <f t="shared" si="24"/>
        <v>0</v>
      </c>
      <c r="Q207" s="365">
        <f t="shared" si="24"/>
        <v>0</v>
      </c>
      <c r="R207" s="365">
        <f t="shared" si="24"/>
        <v>0</v>
      </c>
      <c r="S207" s="264">
        <f t="shared" ref="S207:S211" si="25">SUM(N207:R207)</f>
        <v>0</v>
      </c>
    </row>
    <row r="208" spans="12:19">
      <c r="L208" s="1499"/>
      <c r="M208" t="s">
        <v>566</v>
      </c>
      <c r="N208" s="365">
        <f>(D139-D140)*($D$121*$D$8)</f>
        <v>0</v>
      </c>
      <c r="O208" s="365">
        <f t="shared" ref="O208:R208" si="26">(E139-E140)*($D$121*$D$8)</f>
        <v>0</v>
      </c>
      <c r="P208" s="365">
        <f t="shared" si="26"/>
        <v>0</v>
      </c>
      <c r="Q208" s="365">
        <f t="shared" si="26"/>
        <v>0</v>
      </c>
      <c r="R208" s="365">
        <f t="shared" si="26"/>
        <v>0</v>
      </c>
      <c r="S208" s="264">
        <f t="shared" si="25"/>
        <v>0</v>
      </c>
    </row>
    <row r="209" spans="12:19">
      <c r="L209" s="1499"/>
      <c r="M209" t="s">
        <v>567</v>
      </c>
      <c r="N209" s="365">
        <f>(D141-D142)*($E$121*$D$9)</f>
        <v>0</v>
      </c>
      <c r="O209" s="365">
        <f t="shared" ref="O209:R209" si="27">(E141-E142)*($E$121*$D$9)</f>
        <v>0</v>
      </c>
      <c r="P209" s="365">
        <f t="shared" si="27"/>
        <v>0</v>
      </c>
      <c r="Q209" s="365">
        <f t="shared" si="27"/>
        <v>0</v>
      </c>
      <c r="R209" s="365">
        <f t="shared" si="27"/>
        <v>0</v>
      </c>
      <c r="S209" s="264">
        <f t="shared" si="25"/>
        <v>0</v>
      </c>
    </row>
    <row r="210" spans="12:19">
      <c r="L210" s="1499"/>
      <c r="M210" t="s">
        <v>568</v>
      </c>
      <c r="N210" s="365">
        <f>(D145-D146)*($D$126*$D$11)</f>
        <v>0</v>
      </c>
      <c r="O210" s="365">
        <f t="shared" ref="O210:R210" si="28">(E145-E146)*($D$126*$D$11)</f>
        <v>0</v>
      </c>
      <c r="P210" s="365">
        <f t="shared" si="28"/>
        <v>0</v>
      </c>
      <c r="Q210" s="365">
        <f t="shared" si="28"/>
        <v>0</v>
      </c>
      <c r="R210" s="365">
        <f t="shared" si="28"/>
        <v>0</v>
      </c>
      <c r="S210" s="264">
        <f t="shared" si="25"/>
        <v>0</v>
      </c>
    </row>
    <row r="211" spans="12:19" ht="15" thickBot="1">
      <c r="L211" s="1500"/>
      <c r="M211" s="97" t="s">
        <v>569</v>
      </c>
      <c r="N211" s="366">
        <f>(D147-D148)*($E$126*$D$12)</f>
        <v>0</v>
      </c>
      <c r="O211" s="366">
        <f t="shared" ref="O211:R211" si="29">(E147-E148)*($E$126*$D$12)</f>
        <v>0</v>
      </c>
      <c r="P211" s="366">
        <f t="shared" si="29"/>
        <v>0</v>
      </c>
      <c r="Q211" s="366">
        <f t="shared" si="29"/>
        <v>0</v>
      </c>
      <c r="R211" s="366">
        <f t="shared" si="29"/>
        <v>0</v>
      </c>
      <c r="S211" s="264">
        <f t="shared" si="25"/>
        <v>0</v>
      </c>
    </row>
    <row r="212" spans="12:19" ht="15" thickBot="1"/>
    <row r="213" spans="12:19" ht="15" thickBot="1">
      <c r="L213" s="262"/>
      <c r="M213" s="217"/>
      <c r="N213" s="125" t="s">
        <v>170</v>
      </c>
      <c r="O213" s="124" t="s">
        <v>171</v>
      </c>
      <c r="P213" s="124" t="s">
        <v>172</v>
      </c>
      <c r="Q213" s="124" t="s">
        <v>173</v>
      </c>
      <c r="R213" s="124" t="s">
        <v>174</v>
      </c>
      <c r="S213" s="124" t="s">
        <v>361</v>
      </c>
    </row>
    <row r="214" spans="12:19">
      <c r="L214" s="1507" t="s">
        <v>433</v>
      </c>
      <c r="M214" s="10" t="s">
        <v>427</v>
      </c>
      <c r="N214" s="170">
        <f>SUM(N206:N211)</f>
        <v>0</v>
      </c>
      <c r="O214" s="170">
        <f t="shared" ref="O214:S214" si="30">SUM(O206:O211)</f>
        <v>0</v>
      </c>
      <c r="P214" s="170">
        <f t="shared" si="30"/>
        <v>0</v>
      </c>
      <c r="Q214" s="170">
        <f t="shared" si="30"/>
        <v>0</v>
      </c>
      <c r="R214" s="170">
        <f t="shared" si="30"/>
        <v>0</v>
      </c>
      <c r="S214" s="170">
        <f t="shared" si="30"/>
        <v>0</v>
      </c>
    </row>
    <row r="215" spans="12:19">
      <c r="L215" s="1508"/>
      <c r="M215" s="100" t="s">
        <v>428</v>
      </c>
      <c r="N215" s="184">
        <f>$D$130*N187</f>
        <v>0</v>
      </c>
      <c r="O215" s="264">
        <f>SUM(N187, N215)*$D$130</f>
        <v>0</v>
      </c>
      <c r="P215" s="264">
        <f>SUM(N187, N215:O215)*$D$130</f>
        <v>0</v>
      </c>
      <c r="Q215" s="264">
        <f>SUM(N187, N215:P215)*$D$130</f>
        <v>0</v>
      </c>
      <c r="R215" s="264">
        <f>SUM(N187, N215:Q215)*$D$130</f>
        <v>0</v>
      </c>
      <c r="S215" s="264">
        <f>SUM(N215:R215)</f>
        <v>0</v>
      </c>
    </row>
    <row r="216" spans="12:19" ht="15" thickBot="1">
      <c r="L216" s="1508"/>
      <c r="M216" s="100" t="s">
        <v>429</v>
      </c>
      <c r="N216" s="184">
        <f>$D$29*N177</f>
        <v>0</v>
      </c>
      <c r="O216" s="264">
        <f>SUM(N177, N216)*$D$29</f>
        <v>0</v>
      </c>
      <c r="P216" s="264">
        <f>SUM(N177, N216:O216)*$D$29</f>
        <v>0</v>
      </c>
      <c r="Q216" s="264">
        <f>SUM(N177, N216:P216)*$D$29</f>
        <v>0</v>
      </c>
      <c r="R216" s="264">
        <f>SUM(N177, N216:Q216)*$D$29</f>
        <v>0</v>
      </c>
      <c r="S216" s="264">
        <f>SUM(N216:R216)</f>
        <v>0</v>
      </c>
    </row>
    <row r="217" spans="12:19" ht="15" thickBot="1">
      <c r="L217" s="1509"/>
      <c r="M217" s="262" t="s">
        <v>430</v>
      </c>
      <c r="N217" s="65">
        <f>SUM(N214:N216)</f>
        <v>0</v>
      </c>
      <c r="O217" s="65">
        <f t="shared" ref="O217:R217" si="31">SUM(O214:O216)</f>
        <v>0</v>
      </c>
      <c r="P217" s="65">
        <f t="shared" si="31"/>
        <v>0</v>
      </c>
      <c r="Q217" s="65">
        <f t="shared" si="31"/>
        <v>0</v>
      </c>
      <c r="R217" s="65">
        <f t="shared" si="31"/>
        <v>0</v>
      </c>
      <c r="S217" s="95">
        <f>SUM(S214:S216)</f>
        <v>0</v>
      </c>
    </row>
  </sheetData>
  <sheetProtection algorithmName="SHA-512" hashValue="zwBoBbCOJUYUr59ZGmsDH7ntl2q8g1kMxSH78f8rpP0FD8/TbOMI28uD9AXxoJMMAlNtWTUfqsg2i90RvObueA==" saltValue="TGvvgYCD3lVHKYQjZCl33g==" spinCount="100000" sheet="1" objects="1" scenarios="1"/>
  <mergeCells count="44">
    <mergeCell ref="L206:L211"/>
    <mergeCell ref="L214:L217"/>
    <mergeCell ref="L180:L189"/>
    <mergeCell ref="B103:B105"/>
    <mergeCell ref="B31:B41"/>
    <mergeCell ref="B43:B53"/>
    <mergeCell ref="B55:B65"/>
    <mergeCell ref="B67:B77"/>
    <mergeCell ref="B79:B89"/>
    <mergeCell ref="B91:B101"/>
    <mergeCell ref="L39:L58"/>
    <mergeCell ref="L61:L80"/>
    <mergeCell ref="L83:L102"/>
    <mergeCell ref="L105:L124"/>
    <mergeCell ref="L127:L146"/>
    <mergeCell ref="B116:B118"/>
    <mergeCell ref="L158:L161"/>
    <mergeCell ref="L164:L167"/>
    <mergeCell ref="L200:L203"/>
    <mergeCell ref="B107:B109"/>
    <mergeCell ref="B111:B113"/>
    <mergeCell ref="L152:L155"/>
    <mergeCell ref="L173:L177"/>
    <mergeCell ref="L192:L197"/>
    <mergeCell ref="B126:B128"/>
    <mergeCell ref="B121:B123"/>
    <mergeCell ref="B132:B136"/>
    <mergeCell ref="B138:B142"/>
    <mergeCell ref="B145:B148"/>
    <mergeCell ref="R2:W2"/>
    <mergeCell ref="C17:D17"/>
    <mergeCell ref="C18:D18"/>
    <mergeCell ref="C20:D20"/>
    <mergeCell ref="C21:D21"/>
    <mergeCell ref="L4:L6"/>
    <mergeCell ref="L8:L10"/>
    <mergeCell ref="L12:L14"/>
    <mergeCell ref="B4:B12"/>
    <mergeCell ref="B15:B24"/>
    <mergeCell ref="L17:L36"/>
    <mergeCell ref="C24:D24"/>
    <mergeCell ref="C15:D15"/>
    <mergeCell ref="C23:D23"/>
    <mergeCell ref="B27:B29"/>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4D2DE-8F93-4C27-928D-0ED6475FAFD2}">
  <sheetPr codeName="Sheet11">
    <tabColor theme="1"/>
  </sheetPr>
  <dimension ref="B1:Y124"/>
  <sheetViews>
    <sheetView workbookViewId="0">
      <selection activeCell="C9" sqref="C9"/>
    </sheetView>
  </sheetViews>
  <sheetFormatPr defaultRowHeight="14.45"/>
  <cols>
    <col min="2" max="2" width="16.140625" customWidth="1"/>
    <col min="3" max="3" width="24.140625" customWidth="1"/>
    <col min="4" max="4" width="21.42578125" customWidth="1"/>
    <col min="5" max="5" width="16" customWidth="1"/>
    <col min="6" max="8" width="12.5703125" customWidth="1"/>
    <col min="9" max="9" width="8.7109375" style="1"/>
    <col min="11" max="11" width="13.42578125" customWidth="1"/>
    <col min="12" max="12" width="14.7109375" bestFit="1" customWidth="1"/>
    <col min="13" max="13" width="14.5703125" bestFit="1" customWidth="1"/>
    <col min="14" max="14" width="12" customWidth="1"/>
    <col min="15" max="15" width="9.85546875" bestFit="1" customWidth="1"/>
    <col min="16" max="19" width="9.85546875" customWidth="1"/>
    <col min="21" max="21" width="8.7109375" style="1"/>
    <col min="23" max="23" width="13.5703125" customWidth="1"/>
    <col min="24" max="24" width="13.42578125" customWidth="1"/>
    <col min="25" max="25" width="13.140625" bestFit="1" customWidth="1"/>
  </cols>
  <sheetData>
    <row r="1" spans="2:25" ht="18.600000000000001">
      <c r="B1" s="1548" t="s">
        <v>74</v>
      </c>
      <c r="C1" s="1548"/>
      <c r="D1" s="1548"/>
      <c r="K1" s="1548" t="s">
        <v>215</v>
      </c>
      <c r="L1" s="1548"/>
      <c r="M1" s="1548"/>
      <c r="N1" s="413"/>
      <c r="W1" s="1548" t="s">
        <v>571</v>
      </c>
      <c r="X1" s="1548"/>
      <c r="Y1" s="1548"/>
    </row>
    <row r="2" spans="2:25" ht="15" thickBot="1">
      <c r="C2" s="9"/>
      <c r="D2" s="9"/>
    </row>
    <row r="3" spans="2:25">
      <c r="B3" s="10"/>
      <c r="C3" s="160" t="s">
        <v>85</v>
      </c>
      <c r="D3" s="159" t="s">
        <v>86</v>
      </c>
      <c r="K3" s="10"/>
      <c r="L3" s="160" t="s">
        <v>85</v>
      </c>
      <c r="M3" s="159" t="s">
        <v>86</v>
      </c>
      <c r="N3" s="9"/>
      <c r="W3" s="10"/>
      <c r="X3" s="160" t="s">
        <v>85</v>
      </c>
      <c r="Y3" s="159" t="s">
        <v>86</v>
      </c>
    </row>
    <row r="4" spans="2:25">
      <c r="B4" s="153" t="s">
        <v>89</v>
      </c>
      <c r="C4" s="155">
        <f>IF(INSTRUCTIONS!$Q$7="Basic", 'Basic Teacher Analysis'!M4, 'Advanced Teacher Analysis'!P5)</f>
        <v>0</v>
      </c>
      <c r="D4" s="105">
        <f>IF(INSTRUCTIONS!$Q$7="Basic", 'Basic Teacher Analysis'!N4, 'Advanced Teacher Analysis'!Q5)</f>
        <v>0</v>
      </c>
      <c r="K4" s="153" t="s">
        <v>227</v>
      </c>
      <c r="L4" s="155">
        <f>IF(INSTRUCTIONS!$Q$8="Basic",SUM('Basic Principal Analysis'!N5,'Basic Principal Analysis'!N8),SUM('Advanced Principal Analysis'!N5:N6,'Advanced Principal Analysis'!N9:N10,'Advanced Principal Analysis'!N13:N14))</f>
        <v>0</v>
      </c>
      <c r="M4" s="105">
        <f>IF(INSTRUCTIONS!$Q$8="Basic",SUM('Basic Principal Analysis'!O5, 'Basic Principal Analysis'!O8),SUM('Advanced Principal Analysis'!O5:O6, 'Advanced Principal Analysis'!O9:O10, 'Advanced Principal Analysis'!O13:O14))</f>
        <v>0</v>
      </c>
      <c r="N4" s="99"/>
      <c r="W4" s="153" t="s">
        <v>481</v>
      </c>
      <c r="X4" s="155" t="e">
        <f>SUM(C4:C6, L4)</f>
        <v>#DIV/0!</v>
      </c>
      <c r="Y4" s="105" t="e">
        <f>SUM(D4:D6, M4)</f>
        <v>#DIV/0!</v>
      </c>
    </row>
    <row r="5" spans="2:25">
      <c r="B5" s="153" t="s">
        <v>91</v>
      </c>
      <c r="C5" s="155" t="e">
        <f>IF(INSTRUCTIONS!$Q$7="Basic", 'Basic Teacher Analysis'!M33, 'Advanced Teacher Analysis'!P6)</f>
        <v>#DIV/0!</v>
      </c>
      <c r="D5" s="105" t="e">
        <f>IF(INSTRUCTIONS!$Q$7="Basic", 'Basic Teacher Analysis'!N33, 'Advanced Teacher Analysis'!Q6)</f>
        <v>#DIV/0!</v>
      </c>
      <c r="K5" s="153" t="s">
        <v>97</v>
      </c>
      <c r="L5" s="155">
        <f>IF(INSTRUCTIONS!$Q$8="Basic", 'Basic Principal Analysis'!N66, 'Advanced Principal Analysis'!N170)</f>
        <v>0</v>
      </c>
      <c r="M5" s="105">
        <f>IF(INSTRUCTIONS!$Q$8="Basic", 'Basic Principal Analysis'!O66, 'Advanced Principal Analysis'!O170)</f>
        <v>0</v>
      </c>
      <c r="N5" s="99"/>
      <c r="W5" s="153" t="s">
        <v>97</v>
      </c>
      <c r="X5" s="155">
        <f>SUM(C8, L5)</f>
        <v>0</v>
      </c>
      <c r="Y5" s="105">
        <f>SUM(D8, M5)</f>
        <v>0</v>
      </c>
    </row>
    <row r="6" spans="2:25">
      <c r="B6" s="153" t="s">
        <v>93</v>
      </c>
      <c r="C6" s="155">
        <f>IF(INSTRUCTIONS!$Q$7="Basic", 'Basic Teacher Analysis'!M48, 'Advanced Teacher Analysis'!P7)</f>
        <v>0</v>
      </c>
      <c r="D6" s="105">
        <f>IF(INSTRUCTIONS!$Q$7="Basic", 'Basic Teacher Analysis'!N48, 'Advanced Teacher Analysis'!Q17)</f>
        <v>0</v>
      </c>
      <c r="K6" s="153" t="s">
        <v>101</v>
      </c>
      <c r="L6" s="155">
        <f>IF(INSTRUCTIONS!$Q$8="Basic", 'Basic Principal Analysis'!N55, 'Advanced Principal Analysis'!N149)</f>
        <v>0</v>
      </c>
      <c r="M6" s="105">
        <f>IF(INSTRUCTIONS!$Q$8="Basic", 'Basic Principal Analysis'!O55, 'Advanced Principal Analysis'!O149)</f>
        <v>0</v>
      </c>
      <c r="N6" s="99"/>
      <c r="W6" s="153" t="s">
        <v>319</v>
      </c>
      <c r="X6" s="155">
        <f>C7</f>
        <v>0</v>
      </c>
      <c r="Y6" s="105">
        <f>D7</f>
        <v>0</v>
      </c>
    </row>
    <row r="7" spans="2:25">
      <c r="B7" s="153" t="s">
        <v>319</v>
      </c>
      <c r="C7" s="155">
        <f>SUM(C14:C15)</f>
        <v>0</v>
      </c>
      <c r="D7" s="105">
        <f>SUM(D14:D15)</f>
        <v>0</v>
      </c>
      <c r="K7" s="153" t="s">
        <v>103</v>
      </c>
      <c r="L7" s="155">
        <f>IF(INSTRUCTIONS!$Q$8="Basic", 'Basic Principal Analysis'!N73, 'Advanced Principal Analysis'!N177)</f>
        <v>0</v>
      </c>
      <c r="M7" s="105">
        <f>IF(INSTRUCTIONS!$Q$8="Basic", 'Basic Principal Analysis'!O73, 'Advanced Principal Analysis'!O177)</f>
        <v>0</v>
      </c>
      <c r="N7" s="99"/>
      <c r="W7" s="153" t="s">
        <v>101</v>
      </c>
      <c r="X7" s="155">
        <f t="shared" ref="X7:Y9" si="0">SUM(C9, L6)</f>
        <v>0</v>
      </c>
      <c r="Y7" s="105">
        <f t="shared" si="0"/>
        <v>0</v>
      </c>
    </row>
    <row r="8" spans="2:25" ht="15" thickBot="1">
      <c r="B8" s="153" t="s">
        <v>97</v>
      </c>
      <c r="C8" s="155">
        <f>IF(INSTRUCTIONS!$Q$7="Basic", 'Basic Teacher Analysis'!M66, 'Advanced Teacher Analysis'!P45)</f>
        <v>0</v>
      </c>
      <c r="D8" s="105">
        <f>IF(INSTRUCTIONS!$Q$7="Basic", 'Basic Teacher Analysis'!N66, 'Advanced Teacher Analysis'!Q45)</f>
        <v>0</v>
      </c>
      <c r="K8" s="90" t="s">
        <v>105</v>
      </c>
      <c r="L8" s="80">
        <f>IF(INSTRUCTIONS!$Q$8="Basic", 'Basic Principal Analysis'!N82, 'Advanced Principal Analysis'!N186)</f>
        <v>0</v>
      </c>
      <c r="M8" s="82">
        <f>IF(INSTRUCTIONS!$Q$8="Basic", 'Basic Principal Analysis'!O82, 'Advanced Principal Analysis'!O186)</f>
        <v>0</v>
      </c>
      <c r="N8" s="99"/>
      <c r="W8" s="153" t="s">
        <v>103</v>
      </c>
      <c r="X8" s="155" t="e">
        <f t="shared" si="0"/>
        <v>#DIV/0!</v>
      </c>
      <c r="Y8" s="105" t="e">
        <f t="shared" si="0"/>
        <v>#DIV/0!</v>
      </c>
    </row>
    <row r="9" spans="2:25" ht="15" thickBot="1">
      <c r="B9" s="153" t="s">
        <v>101</v>
      </c>
      <c r="C9" s="155">
        <f>IF(INSTRUCTIONS!$Q$7="Basic", 'Basic Teacher Analysis'!M87, 'Advanced Teacher Analysis'!P67)</f>
        <v>0</v>
      </c>
      <c r="D9" s="105">
        <f>IF(INSTRUCTIONS!$Q$7="Basic", 'Basic Teacher Analysis'!N87, 'Advanced Teacher Analysis'!Q67)</f>
        <v>0</v>
      </c>
      <c r="W9" s="90" t="s">
        <v>105</v>
      </c>
      <c r="X9" s="80" t="e">
        <f t="shared" si="0"/>
        <v>#DIV/0!</v>
      </c>
      <c r="Y9" s="82" t="e">
        <f t="shared" si="0"/>
        <v>#DIV/0!</v>
      </c>
    </row>
    <row r="10" spans="2:25" ht="15" thickBot="1">
      <c r="B10" s="153" t="s">
        <v>103</v>
      </c>
      <c r="C10" s="155" t="e">
        <f>IF(INSTRUCTIONS!$Q$7="Basic", 'Basic Teacher Analysis'!M91, 'Advanced Teacher Analysis'!P74)</f>
        <v>#DIV/0!</v>
      </c>
      <c r="D10" s="105" t="e">
        <f>IF(INSTRUCTIONS!$Q$7="Basic", 'Basic Teacher Analysis'!N91, 'Advanced Teacher Analysis'!Q74)</f>
        <v>#DIV/0!</v>
      </c>
    </row>
    <row r="11" spans="2:25" ht="15" thickBot="1">
      <c r="B11" s="90" t="s">
        <v>105</v>
      </c>
      <c r="C11" s="80" t="e">
        <f>IF(INSTRUCTIONS!$Q$7="Basic", 'Basic Teacher Analysis'!M93, 'Advanced Teacher Analysis'!P76)</f>
        <v>#DIV/0!</v>
      </c>
      <c r="D11" s="82" t="e">
        <f>IF(INSTRUCTIONS!$Q$7="Basic", 'Basic Teacher Analysis'!N93, 'Advanced Teacher Analysis'!Q76)</f>
        <v>#DIV/0!</v>
      </c>
      <c r="K11" s="1465" t="s">
        <v>572</v>
      </c>
      <c r="L11" s="1466"/>
      <c r="M11" s="1466"/>
      <c r="N11" s="1467"/>
      <c r="W11" s="10"/>
      <c r="X11" s="160" t="s">
        <v>85</v>
      </c>
      <c r="Y11" s="159" t="s">
        <v>86</v>
      </c>
    </row>
    <row r="12" spans="2:25" ht="15" thickBot="1">
      <c r="K12" s="511"/>
      <c r="L12" s="512" t="s">
        <v>85</v>
      </c>
      <c r="M12" s="513" t="s">
        <v>86</v>
      </c>
      <c r="N12" s="322" t="s">
        <v>440</v>
      </c>
      <c r="W12" s="153" t="s">
        <v>573</v>
      </c>
      <c r="X12" s="389" t="e">
        <f>C11</f>
        <v>#DIV/0!</v>
      </c>
      <c r="Y12" s="391" t="e">
        <f>D11</f>
        <v>#DIV/0!</v>
      </c>
    </row>
    <row r="13" spans="2:25" ht="15" thickBot="1">
      <c r="B13" s="1465" t="s">
        <v>319</v>
      </c>
      <c r="C13" s="1466"/>
      <c r="D13" s="1467"/>
      <c r="K13" s="390" t="s">
        <v>270</v>
      </c>
      <c r="L13" s="440">
        <f>IF(INSTRUCTIONS!$Q$8="Basic", 'Basic Principal Analysis'!S6, 'Advanced Principal Analysis'!R5)</f>
        <v>0</v>
      </c>
      <c r="M13" s="439">
        <f>IF(INSTRUCTIONS!$Q$8="Basic", 'Basic Principal Analysis'!S5, 'Advanced Principal Analysis'!R4)</f>
        <v>0</v>
      </c>
      <c r="N13" s="525">
        <f>M13-L13</f>
        <v>0</v>
      </c>
      <c r="W13" s="153" t="s">
        <v>574</v>
      </c>
      <c r="X13" s="389">
        <f>L8</f>
        <v>0</v>
      </c>
      <c r="Y13" s="391">
        <f>M8</f>
        <v>0</v>
      </c>
    </row>
    <row r="14" spans="2:25" ht="15" thickBot="1">
      <c r="B14" s="153" t="s">
        <v>94</v>
      </c>
      <c r="C14" s="155">
        <f>IF(INSTRUCTIONS!$Q$7="Basic", 'Basic Teacher Analysis'!M52, 'Advanced Teacher Analysis'!P31)</f>
        <v>0</v>
      </c>
      <c r="D14" s="105">
        <f>IF(INSTRUCTIONS!$Q$7="Basic", 'Basic Teacher Analysis'!N52, 'Advanced Teacher Analysis'!Q31)</f>
        <v>0</v>
      </c>
      <c r="K14" s="390" t="s">
        <v>170</v>
      </c>
      <c r="L14" s="440">
        <f>IF(INSTRUCTIONS!$Q$8="Basic", 'Basic Principal Analysis'!T6, 'Advanced Principal Analysis'!S5)</f>
        <v>0</v>
      </c>
      <c r="M14" s="439">
        <f>IF(INSTRUCTIONS!$Q$8="Basic", 'Basic Principal Analysis'!T5, 'Advanced Principal Analysis'!S4)</f>
        <v>0</v>
      </c>
      <c r="N14" s="524">
        <f t="shared" ref="N14:N18" si="1">M14-L14</f>
        <v>0</v>
      </c>
      <c r="W14" s="90" t="s">
        <v>105</v>
      </c>
      <c r="X14" s="91" t="e">
        <f>SUM(C11, L8)</f>
        <v>#DIV/0!</v>
      </c>
      <c r="Y14" s="92" t="e">
        <f>SUM(D11, M8)</f>
        <v>#DIV/0!</v>
      </c>
    </row>
    <row r="15" spans="2:25" ht="15" thickBot="1">
      <c r="B15" s="90" t="s">
        <v>95</v>
      </c>
      <c r="C15" s="80">
        <f>IF(INSTRUCTIONS!$Q$7="Basic", 'Basic - Teachers'!C20, 'Advanced - Teachers'!C20)</f>
        <v>0</v>
      </c>
      <c r="D15" s="82">
        <f>IF(INSTRUCTIONS!$Q$7="Basic", 'Basic - Teachers'!E20, 'Advanced - Teachers'!E20)</f>
        <v>0</v>
      </c>
      <c r="K15" s="390" t="s">
        <v>171</v>
      </c>
      <c r="L15" s="440">
        <f>IF(INSTRUCTIONS!$Q$8="Basic", 'Basic Principal Analysis'!U6, 'Advanced Principal Analysis'!T5)</f>
        <v>0</v>
      </c>
      <c r="M15" s="439">
        <f>IF(INSTRUCTIONS!$Q$8="Basic", 'Basic Principal Analysis'!U5, 'Advanced Principal Analysis'!T4)</f>
        <v>0</v>
      </c>
      <c r="N15" s="524">
        <f t="shared" si="1"/>
        <v>0</v>
      </c>
    </row>
    <row r="16" spans="2:25" ht="15" thickBot="1">
      <c r="K16" s="390" t="s">
        <v>172</v>
      </c>
      <c r="L16" s="439">
        <f>IF(INSTRUCTIONS!$Q$8="Basic", 'Basic Principal Analysis'!V6, 'Advanced Principal Analysis'!U5)</f>
        <v>0</v>
      </c>
      <c r="M16" s="439">
        <f>IF(INSTRUCTIONS!$Q$8="Basic", 'Basic Principal Analysis'!V5, 'Advanced Principal Analysis'!U4)</f>
        <v>0</v>
      </c>
      <c r="N16" s="524">
        <f t="shared" si="1"/>
        <v>0</v>
      </c>
      <c r="W16" s="1465" t="s">
        <v>572</v>
      </c>
      <c r="X16" s="1466"/>
      <c r="Y16" s="1467"/>
    </row>
    <row r="17" spans="2:25" ht="15" thickBot="1">
      <c r="B17" s="1465" t="s">
        <v>264</v>
      </c>
      <c r="C17" s="1466"/>
      <c r="D17" s="1467"/>
      <c r="K17" s="390" t="s">
        <v>173</v>
      </c>
      <c r="L17" s="440">
        <f>IF(INSTRUCTIONS!$Q$8="Basic", 'Basic Principal Analysis'!W6, 'Advanced Principal Analysis'!V5)</f>
        <v>0</v>
      </c>
      <c r="M17" s="439">
        <f>IF(INSTRUCTIONS!$Q$8="Basic", 'Basic Principal Analysis'!W5, 'Advanced Principal Analysis'!V4)</f>
        <v>0</v>
      </c>
      <c r="N17" s="524">
        <f t="shared" si="1"/>
        <v>0</v>
      </c>
      <c r="W17" s="390"/>
      <c r="X17" s="285" t="s">
        <v>85</v>
      </c>
      <c r="Y17" s="287" t="s">
        <v>86</v>
      </c>
    </row>
    <row r="18" spans="2:25" ht="15" thickBot="1">
      <c r="B18" s="125" t="s">
        <v>269</v>
      </c>
      <c r="C18" s="124" t="s">
        <v>85</v>
      </c>
      <c r="D18" s="386" t="s">
        <v>86</v>
      </c>
      <c r="K18" s="363" t="s">
        <v>174</v>
      </c>
      <c r="L18" s="443">
        <f>IF(INSTRUCTIONS!$Q$8="Basic", 'Basic Principal Analysis'!X6, 'Advanced Principal Analysis'!W5)</f>
        <v>0</v>
      </c>
      <c r="M18" s="441">
        <f>IF(INSTRUCTIONS!$Q$8="Basic", 'Basic Principal Analysis'!X5, 'Advanced Principal Analysis'!W4)</f>
        <v>0</v>
      </c>
      <c r="N18" s="526">
        <f t="shared" si="1"/>
        <v>0</v>
      </c>
      <c r="W18" s="390" t="s">
        <v>270</v>
      </c>
      <c r="X18" s="521" t="e">
        <f>SUM(C53, L13)</f>
        <v>#DIV/0!</v>
      </c>
      <c r="Y18" s="391" t="e">
        <f>SUM(D53, M13)</f>
        <v>#DIV/0!</v>
      </c>
    </row>
    <row r="19" spans="2:25" ht="15" thickBot="1">
      <c r="B19" s="108">
        <v>0</v>
      </c>
      <c r="C19" s="155">
        <f>IF(INSTRUCTIONS!$Q$7="Basic",_xlfn.XLOOKUP(B19,'Basic Teacher Analysis'!$Q$5:$Q$35,'Basic Teacher Analysis'!$R$5:$R$35),_xlfn.XLOOKUP(B19,'Advanced Teacher Analysis'!$C$6:$C$36,'Advanced Teacher Analysis'!$E$6:$E$36))</f>
        <v>0</v>
      </c>
      <c r="D19" s="67">
        <f>IF(INSTRUCTIONS!$Q$7="Basic",_xlfn.XLOOKUP(B19,'Basic Teacher Analysis'!$Q$5:$Q$35,'Basic Teacher Analysis'!$S$5:$S$35),_xlfn.XLOOKUP(B19,'Advanced Teacher Analysis'!$C$97:$C$127, 'Advanced Teacher Analysis'!$E$97:$E$127))</f>
        <v>0</v>
      </c>
      <c r="K19" s="285"/>
      <c r="M19" s="528" t="s">
        <v>575</v>
      </c>
      <c r="N19" s="527">
        <f>SUM(N13:N18)</f>
        <v>0</v>
      </c>
      <c r="W19" s="390" t="s">
        <v>170</v>
      </c>
      <c r="X19" s="521" t="e">
        <f t="shared" ref="X19:X23" si="2">SUM(C54, L14)</f>
        <v>#DIV/0!</v>
      </c>
      <c r="Y19" s="391" t="e">
        <f>SUM(D54, M14)</f>
        <v>#DIV/0!</v>
      </c>
    </row>
    <row r="20" spans="2:25" ht="15" thickBot="1">
      <c r="B20" s="4">
        <v>1</v>
      </c>
      <c r="C20" s="155" t="e">
        <f>IF(INSTRUCTIONS!$Q$7="Basic",_xlfn.XLOOKUP(B20,'Basic Teacher Analysis'!$Q$5:$Q$35,'Basic Teacher Analysis'!$R$5:$R$35),_xlfn.XLOOKUP(B20,'Advanced Teacher Analysis'!$C$6:$C$36,'Advanced Teacher Analysis'!$E$6:$E$36))</f>
        <v>#DIV/0!</v>
      </c>
      <c r="D20" s="387" t="e">
        <f>IF(INSTRUCTIONS!$Q$7="Basic",_xlfn.XLOOKUP(B20,'Basic Teacher Analysis'!$Q$5:$Q$35,'Basic Teacher Analysis'!$S$5:$S$35),_xlfn.XLOOKUP(B20,'Advanced Teacher Analysis'!$C$97:$C$127, 'Advanced Teacher Analysis'!$E$97:$E$127))</f>
        <v>#DIV/0!</v>
      </c>
      <c r="P20" s="1448" t="s">
        <v>576</v>
      </c>
      <c r="Q20" s="1449"/>
      <c r="R20" s="1449"/>
      <c r="S20" s="1450"/>
      <c r="W20" s="390" t="s">
        <v>171</v>
      </c>
      <c r="X20" s="521" t="e">
        <f t="shared" si="2"/>
        <v>#DIV/0!</v>
      </c>
      <c r="Y20" s="391" t="e">
        <f>SUM(D55, M15)</f>
        <v>#DIV/0!</v>
      </c>
    </row>
    <row r="21" spans="2:25" ht="15" thickBot="1">
      <c r="B21" s="4">
        <v>2</v>
      </c>
      <c r="C21" s="155" t="e">
        <f>IF(INSTRUCTIONS!$Q$7="Basic",_xlfn.XLOOKUP(B21,'Basic Teacher Analysis'!$Q$5:$Q$35,'Basic Teacher Analysis'!$R$5:$R$35),_xlfn.XLOOKUP(B21,'Advanced Teacher Analysis'!$C$6:$C$36,'Advanced Teacher Analysis'!$E$6:$E$36))</f>
        <v>#DIV/0!</v>
      </c>
      <c r="D21" s="387" t="e">
        <f>IF(INSTRUCTIONS!$Q$7="Basic",_xlfn.XLOOKUP(B21,'Basic Teacher Analysis'!$Q$5:$Q$35,'Basic Teacher Analysis'!$S$5:$S$35),_xlfn.XLOOKUP(B21,'Advanced Teacher Analysis'!$C$97:$C$127, 'Advanced Teacher Analysis'!$E$97:$E$127))</f>
        <v>#DIV/0!</v>
      </c>
      <c r="K21" s="108"/>
      <c r="L21" s="1465" t="s">
        <v>216</v>
      </c>
      <c r="M21" s="1467"/>
      <c r="N21" s="1466" t="s">
        <v>577</v>
      </c>
      <c r="O21" s="1466"/>
      <c r="P21" s="1448" t="s">
        <v>216</v>
      </c>
      <c r="Q21" s="1450"/>
      <c r="R21" s="1466" t="s">
        <v>577</v>
      </c>
      <c r="S21" s="1467"/>
      <c r="W21" s="390" t="s">
        <v>172</v>
      </c>
      <c r="X21" s="521" t="e">
        <f t="shared" si="2"/>
        <v>#DIV/0!</v>
      </c>
      <c r="Y21" s="391" t="e">
        <f>SUM(D56, M16)</f>
        <v>#DIV/0!</v>
      </c>
    </row>
    <row r="22" spans="2:25" ht="15" thickBot="1">
      <c r="B22" s="4">
        <v>3</v>
      </c>
      <c r="C22" s="155" t="e">
        <f>IF(INSTRUCTIONS!$Q$7="Basic",_xlfn.XLOOKUP(B22,'Basic Teacher Analysis'!$Q$5:$Q$35,'Basic Teacher Analysis'!$R$5:$R$35),_xlfn.XLOOKUP(B22,'Advanced Teacher Analysis'!$C$6:$C$36,'Advanced Teacher Analysis'!$E$6:$E$36))</f>
        <v>#DIV/0!</v>
      </c>
      <c r="D22" s="387" t="e">
        <f>IF(INSTRUCTIONS!$Q$7="Basic",_xlfn.XLOOKUP(B22,'Basic Teacher Analysis'!$Q$5:$Q$35,'Basic Teacher Analysis'!$S$5:$S$35),_xlfn.XLOOKUP(B22,'Advanced Teacher Analysis'!$C$97:$C$127, 'Advanced Teacher Analysis'!$E$97:$E$127))</f>
        <v>#DIV/0!</v>
      </c>
      <c r="K22" s="108"/>
      <c r="L22" s="160" t="s">
        <v>85</v>
      </c>
      <c r="M22" s="159" t="s">
        <v>86</v>
      </c>
      <c r="N22" s="160" t="s">
        <v>85</v>
      </c>
      <c r="O22" s="160" t="s">
        <v>86</v>
      </c>
      <c r="P22" s="262" t="s">
        <v>85</v>
      </c>
      <c r="Q22" s="124" t="s">
        <v>86</v>
      </c>
      <c r="R22" s="9" t="s">
        <v>85</v>
      </c>
      <c r="S22" s="287" t="s">
        <v>86</v>
      </c>
      <c r="W22" s="390" t="s">
        <v>173</v>
      </c>
      <c r="X22" s="521" t="e">
        <f t="shared" si="2"/>
        <v>#DIV/0!</v>
      </c>
      <c r="Y22" s="391" t="e">
        <f>SUM(D57, M17)</f>
        <v>#DIV/0!</v>
      </c>
    </row>
    <row r="23" spans="2:25" ht="15" thickBot="1">
      <c r="B23" s="4">
        <v>4</v>
      </c>
      <c r="C23" s="155" t="e">
        <f>IF(INSTRUCTIONS!$Q$7="Basic",_xlfn.XLOOKUP(B23,'Basic Teacher Analysis'!$Q$5:$Q$35,'Basic Teacher Analysis'!$R$5:$R$35),_xlfn.XLOOKUP(B23,'Advanced Teacher Analysis'!$C$6:$C$36,'Advanced Teacher Analysis'!$E$6:$E$36))</f>
        <v>#DIV/0!</v>
      </c>
      <c r="D23" s="387" t="e">
        <f>IF(INSTRUCTIONS!$Q$7="Basic",_xlfn.XLOOKUP(B23,'Basic Teacher Analysis'!$Q$5:$Q$35,'Basic Teacher Analysis'!$S$5:$S$35),_xlfn.XLOOKUP(B23,'Advanced Teacher Analysis'!$C$97:$C$127, 'Advanced Teacher Analysis'!$E$97:$E$127))</f>
        <v>#DIV/0!</v>
      </c>
      <c r="K23" s="153">
        <f>IF(INSTRUCTIONS!$Q$8="Basic", 'Basic - Principals and APs'!J24, 'Advanced - Principals and APs'!J31)</f>
        <v>0</v>
      </c>
      <c r="L23" s="496">
        <f>IF(INSTRUCTIONS!$Q$8="Basic", 'Basic Principal Analysis'!D10, AVERAGE('Advanced Principal Analysis'!E17,'Advanced Principal Analysis'!E20,'Advanced Principal Analysis'!E23))</f>
        <v>0</v>
      </c>
      <c r="M23" s="498">
        <f>IF(INSTRUCTIONS!$Q$8="Basic", 'Basic Principal Analysis'!E10, AVERAGE('Advanced Principal Analysis'!F17,'Advanced Principal Analysis'!F20,'Advanced Principal Analysis'!F23))</f>
        <v>0</v>
      </c>
      <c r="N23" s="497">
        <f>IF(INSTRUCTIONS!$Q$8="Basic", 'Basic Principal Analysis'!$D$11, AVERAGE('Advanced Principal Analysis'!$E$18,'Advanced Principal Analysis'!$E$21,'Advanced Principal Analysis'!$E$24))</f>
        <v>0</v>
      </c>
      <c r="O23" s="497">
        <f>IF(INSTRUCTIONS!$Q$8="Basic", 'Basic Principal Analysis'!$E$11, AVERAGE('Advanced Principal Analysis'!$F$18,'Advanced Principal Analysis'!$F$21,'Advanced Principal Analysis'!$F$24))</f>
        <v>0</v>
      </c>
      <c r="P23" s="501" t="e">
        <f t="shared" ref="P23:P32" si="3">IF(L23&gt;0, L23, NA())</f>
        <v>#N/A</v>
      </c>
      <c r="Q23" s="502" t="e">
        <f t="shared" ref="Q23:Q32" si="4">IF(M23&gt;0, M23, NA())</f>
        <v>#N/A</v>
      </c>
      <c r="R23" s="499" t="e">
        <f t="shared" ref="R23:R32" si="5">IF(N23&gt;0,N23, NA())</f>
        <v>#N/A</v>
      </c>
      <c r="S23" s="500" t="e">
        <f t="shared" ref="S23:S32" si="6">IF(O23&gt;0,O23, NA())</f>
        <v>#N/A</v>
      </c>
      <c r="W23" s="363" t="s">
        <v>174</v>
      </c>
      <c r="X23" s="522" t="e">
        <f t="shared" si="2"/>
        <v>#DIV/0!</v>
      </c>
      <c r="Y23" s="92" t="e">
        <f>SUM(D58, M18)</f>
        <v>#DIV/0!</v>
      </c>
    </row>
    <row r="24" spans="2:25">
      <c r="B24" s="4">
        <v>5</v>
      </c>
      <c r="C24" s="155" t="e">
        <f>IF(INSTRUCTIONS!$Q$7="Basic",_xlfn.XLOOKUP(B24,'Basic Teacher Analysis'!$Q$5:$Q$35,'Basic Teacher Analysis'!$R$5:$R$35),_xlfn.XLOOKUP(B24,'Advanced Teacher Analysis'!$C$6:$C$36,'Advanced Teacher Analysis'!$E$6:$E$36))</f>
        <v>#DIV/0!</v>
      </c>
      <c r="D24" s="387" t="e">
        <f>IF(INSTRUCTIONS!$Q$7="Basic",_xlfn.XLOOKUP(B24,'Basic Teacher Analysis'!$Q$5:$Q$35,'Basic Teacher Analysis'!$S$5:$S$35),_xlfn.XLOOKUP(B24,'Advanced Teacher Analysis'!$C$97:$C$127, 'Advanced Teacher Analysis'!$E$97:$E$127))</f>
        <v>#DIV/0!</v>
      </c>
      <c r="K24" s="153">
        <f>IF(INSTRUCTIONS!$Q$8="Basic", 'Basic - Principals and APs'!J25, 'Advanced - Principals and APs'!J32)</f>
        <v>0</v>
      </c>
      <c r="L24" s="438">
        <f>IF(INSTRUCTIONS!$Q$8="Basic", SUM('Basic Principal Analysis'!$D$10, 'Basic Principal Analysis'!E15), SUM(AVERAGE('Advanced Principal Analysis'!$E$17,'Advanced Principal Analysis'!$E$20,'Advanced Principal Analysis'!$E$23), AVERAGE('Advanced Principal Analysis'!E33, 'Advanced Principal Analysis'!E57, 'Advanced Principal Analysis'!E81)))</f>
        <v>0</v>
      </c>
      <c r="M24" s="439">
        <f>IF(INSTRUCTIONS!$Q$8="Basic", SUM('Basic Principal Analysis'!$E$10, 'Basic Principal Analysis'!F15), SUM(AVERAGE('Advanced Principal Analysis'!$F$17,'Advanced Principal Analysis'!$F$20,'Advanced Principal Analysis'!$F$23), AVERAGE('Advanced Principal Analysis'!F33, 'Advanced Principal Analysis'!F57, 'Advanced Principal Analysis'!F81)))</f>
        <v>0</v>
      </c>
      <c r="N24" s="440">
        <f>IF(INSTRUCTIONS!$Q$8="Basic", SUM('Basic Principal Analysis'!$D$11, 'Basic Principal Analysis'!E27), SUM(AVERAGE('Advanced Principal Analysis'!$E$18,'Advanced Principal Analysis'!$E$21,'Advanced Principal Analysis'!$E$24), AVERAGE('Advanced Principal Analysis'!E45, 'Advanced Principal Analysis'!E69, 'Advanced Principal Analysis'!E93)))</f>
        <v>0</v>
      </c>
      <c r="O24" s="440">
        <f>IF(INSTRUCTIONS!$Q$8="Basic", SUM('Basic Principal Analysis'!$E$11, 'Basic Principal Analysis'!F27), SUM(AVERAGE('Advanced Principal Analysis'!$F$18,'Advanced Principal Analysis'!$F$21,'Advanced Principal Analysis'!$F$24), AVERAGE('Advanced Principal Analysis'!F45, 'Advanced Principal Analysis'!F69, 'Advanced Principal Analysis'!F93)))</f>
        <v>0</v>
      </c>
      <c r="P24" s="501" t="e">
        <f t="shared" si="3"/>
        <v>#N/A</v>
      </c>
      <c r="Q24" s="502" t="e">
        <f t="shared" si="4"/>
        <v>#N/A</v>
      </c>
      <c r="R24" s="393" t="e">
        <f t="shared" si="5"/>
        <v>#N/A</v>
      </c>
      <c r="S24" s="502" t="e">
        <f t="shared" si="6"/>
        <v>#N/A</v>
      </c>
    </row>
    <row r="25" spans="2:25">
      <c r="B25" s="4">
        <v>6</v>
      </c>
      <c r="C25" s="155" t="e">
        <f>IF(INSTRUCTIONS!$Q$7="Basic",_xlfn.XLOOKUP(B25,'Basic Teacher Analysis'!$Q$5:$Q$35,'Basic Teacher Analysis'!$R$5:$R$35),_xlfn.XLOOKUP(B25,'Advanced Teacher Analysis'!$C$6:$C$36,'Advanced Teacher Analysis'!$E$6:$E$36))</f>
        <v>#DIV/0!</v>
      </c>
      <c r="D25" s="387" t="e">
        <f>IF(INSTRUCTIONS!$Q$7="Basic",_xlfn.XLOOKUP(B25,'Basic Teacher Analysis'!$Q$5:$Q$35,'Basic Teacher Analysis'!$S$5:$S$35),_xlfn.XLOOKUP(B25,'Advanced Teacher Analysis'!$C$97:$C$127, 'Advanced Teacher Analysis'!$E$97:$E$127))</f>
        <v>#DIV/0!</v>
      </c>
      <c r="K25" s="153">
        <f>IF(INSTRUCTIONS!$Q$8="Basic", 'Basic - Principals and APs'!J26, 'Advanced - Principals and APs'!J33)</f>
        <v>0</v>
      </c>
      <c r="L25" s="438">
        <f>IF(INSTRUCTIONS!$Q$8="Basic", SUM('Basic Principal Analysis'!$D$10, 'Basic Principal Analysis'!E16), SUM(AVERAGE('Advanced Principal Analysis'!$E$17,'Advanced Principal Analysis'!$E$20,'Advanced Principal Analysis'!$E$23), AVERAGE('Advanced Principal Analysis'!E34, 'Advanced Principal Analysis'!E58, 'Advanced Principal Analysis'!E82)))</f>
        <v>0</v>
      </c>
      <c r="M25" s="439">
        <f>IF(INSTRUCTIONS!$Q$8="Basic", SUM('Basic Principal Analysis'!$E$10, 'Basic Principal Analysis'!F16), SUM(AVERAGE('Advanced Principal Analysis'!$F$17,'Advanced Principal Analysis'!$F$20,'Advanced Principal Analysis'!$F$23), AVERAGE('Advanced Principal Analysis'!F34, 'Advanced Principal Analysis'!F58, 'Advanced Principal Analysis'!F82)))</f>
        <v>0</v>
      </c>
      <c r="N25" s="440">
        <f>IF(INSTRUCTIONS!$Q$8="Basic", SUM('Basic Principal Analysis'!$D$11, 'Basic Principal Analysis'!E28), SUM(AVERAGE('Advanced Principal Analysis'!$E$18,'Advanced Principal Analysis'!$E$21,'Advanced Principal Analysis'!$E$24), AVERAGE('Advanced Principal Analysis'!E46, 'Advanced Principal Analysis'!E70, 'Advanced Principal Analysis'!E94)))</f>
        <v>0</v>
      </c>
      <c r="O25" s="440">
        <f>IF(INSTRUCTIONS!$Q$8="Basic", SUM('Basic Principal Analysis'!$E$11, 'Basic Principal Analysis'!F28), SUM(AVERAGE('Advanced Principal Analysis'!$F$18,'Advanced Principal Analysis'!$F$21,'Advanced Principal Analysis'!$F$24), AVERAGE('Advanced Principal Analysis'!F46, 'Advanced Principal Analysis'!F70, 'Advanced Principal Analysis'!F94)))</f>
        <v>0</v>
      </c>
      <c r="P25" s="501" t="e">
        <f t="shared" si="3"/>
        <v>#N/A</v>
      </c>
      <c r="Q25" s="502" t="e">
        <f t="shared" si="4"/>
        <v>#N/A</v>
      </c>
      <c r="R25" s="393" t="e">
        <f t="shared" si="5"/>
        <v>#N/A</v>
      </c>
      <c r="S25" s="502" t="e">
        <f t="shared" si="6"/>
        <v>#N/A</v>
      </c>
    </row>
    <row r="26" spans="2:25">
      <c r="B26" s="4">
        <v>7</v>
      </c>
      <c r="C26" s="155" t="e">
        <f>IF(INSTRUCTIONS!$Q$7="Basic",_xlfn.XLOOKUP(B26,'Basic Teacher Analysis'!$Q$5:$Q$35,'Basic Teacher Analysis'!$R$5:$R$35),_xlfn.XLOOKUP(B26,'Advanced Teacher Analysis'!$C$6:$C$36,'Advanced Teacher Analysis'!$E$6:$E$36))</f>
        <v>#DIV/0!</v>
      </c>
      <c r="D26" s="387" t="e">
        <f>IF(INSTRUCTIONS!$Q$7="Basic",_xlfn.XLOOKUP(B26,'Basic Teacher Analysis'!$Q$5:$Q$35,'Basic Teacher Analysis'!$S$5:$S$35),_xlfn.XLOOKUP(B26,'Advanced Teacher Analysis'!$C$97:$C$127, 'Advanced Teacher Analysis'!$E$97:$E$127))</f>
        <v>#DIV/0!</v>
      </c>
      <c r="K26" s="153">
        <f>IF(INSTRUCTIONS!$Q$8="Basic", 'Basic - Principals and APs'!J27, 'Advanced - Principals and APs'!J34)</f>
        <v>0</v>
      </c>
      <c r="L26" s="438">
        <f>IF(INSTRUCTIONS!$Q$8="Basic", SUM('Basic Principal Analysis'!$D$10, 'Basic Principal Analysis'!E17), SUM(AVERAGE('Advanced Principal Analysis'!$E$17,'Advanced Principal Analysis'!$E$20,'Advanced Principal Analysis'!$E$23), AVERAGE('Advanced Principal Analysis'!E35, 'Advanced Principal Analysis'!E59, 'Advanced Principal Analysis'!E83)))</f>
        <v>0</v>
      </c>
      <c r="M26" s="439">
        <f>IF(INSTRUCTIONS!$Q$8="Basic", SUM('Basic Principal Analysis'!$E$10, 'Basic Principal Analysis'!F17), SUM(AVERAGE('Advanced Principal Analysis'!$F$17,'Advanced Principal Analysis'!$F$20,'Advanced Principal Analysis'!$F$23), AVERAGE('Advanced Principal Analysis'!F35, 'Advanced Principal Analysis'!F59, 'Advanced Principal Analysis'!F83)))</f>
        <v>0</v>
      </c>
      <c r="N26" s="440">
        <f>IF(INSTRUCTIONS!$Q$8="Basic", SUM('Basic Principal Analysis'!$D$11, 'Basic Principal Analysis'!E29), SUM(AVERAGE('Advanced Principal Analysis'!$E$18,'Advanced Principal Analysis'!$E$21,'Advanced Principal Analysis'!$E$24), AVERAGE('Advanced Principal Analysis'!E47, 'Advanced Principal Analysis'!E71, 'Advanced Principal Analysis'!E95)))</f>
        <v>0</v>
      </c>
      <c r="O26" s="440">
        <f>IF(INSTRUCTIONS!$Q$8="Basic", SUM('Basic Principal Analysis'!$E$11, 'Basic Principal Analysis'!F29), SUM(AVERAGE('Advanced Principal Analysis'!$F$18,'Advanced Principal Analysis'!$F$21,'Advanced Principal Analysis'!$F$24), AVERAGE('Advanced Principal Analysis'!F47, 'Advanced Principal Analysis'!F71, 'Advanced Principal Analysis'!F95)))</f>
        <v>0</v>
      </c>
      <c r="P26" s="501" t="e">
        <f t="shared" si="3"/>
        <v>#N/A</v>
      </c>
      <c r="Q26" s="502" t="e">
        <f t="shared" si="4"/>
        <v>#N/A</v>
      </c>
      <c r="R26" s="393" t="e">
        <f t="shared" si="5"/>
        <v>#N/A</v>
      </c>
      <c r="S26" s="502" t="e">
        <f t="shared" si="6"/>
        <v>#N/A</v>
      </c>
    </row>
    <row r="27" spans="2:25">
      <c r="B27" s="4">
        <v>8</v>
      </c>
      <c r="C27" s="155" t="e">
        <f>IF(INSTRUCTIONS!$Q$7="Basic",_xlfn.XLOOKUP(B27,'Basic Teacher Analysis'!$Q$5:$Q$35,'Basic Teacher Analysis'!$R$5:$R$35),_xlfn.XLOOKUP(B27,'Advanced Teacher Analysis'!$C$6:$C$36,'Advanced Teacher Analysis'!$E$6:$E$36))</f>
        <v>#DIV/0!</v>
      </c>
      <c r="D27" s="387" t="e">
        <f>IF(INSTRUCTIONS!$Q$7="Basic",_xlfn.XLOOKUP(B27,'Basic Teacher Analysis'!$Q$5:$Q$35,'Basic Teacher Analysis'!$S$5:$S$35),_xlfn.XLOOKUP(B27,'Advanced Teacher Analysis'!$C$97:$C$127, 'Advanced Teacher Analysis'!$E$97:$E$127))</f>
        <v>#DIV/0!</v>
      </c>
      <c r="K27" s="153">
        <f>IF(INSTRUCTIONS!$Q$8="Basic", 'Basic - Principals and APs'!J28, 'Advanced - Principals and APs'!J35)</f>
        <v>0</v>
      </c>
      <c r="L27" s="438">
        <f>IF(INSTRUCTIONS!$Q$8="Basic", SUM('Basic Principal Analysis'!$D$10, 'Basic Principal Analysis'!E18), SUM(AVERAGE('Advanced Principal Analysis'!$E$17,'Advanced Principal Analysis'!$E$20,'Advanced Principal Analysis'!$E$23), AVERAGE('Advanced Principal Analysis'!E36, 'Advanced Principal Analysis'!E60, 'Advanced Principal Analysis'!E84)))</f>
        <v>0</v>
      </c>
      <c r="M27" s="439">
        <f>IF(INSTRUCTIONS!$Q$8="Basic", SUM('Basic Principal Analysis'!$E$10, 'Basic Principal Analysis'!F18), SUM(AVERAGE('Advanced Principal Analysis'!$F$17,'Advanced Principal Analysis'!$F$20,'Advanced Principal Analysis'!$F$23), AVERAGE('Advanced Principal Analysis'!F36, 'Advanced Principal Analysis'!F60, 'Advanced Principal Analysis'!F84)))</f>
        <v>0</v>
      </c>
      <c r="N27" s="440">
        <f>IF(INSTRUCTIONS!$Q$8="Basic", SUM('Basic Principal Analysis'!$D$11, 'Basic Principal Analysis'!E30), SUM(AVERAGE('Advanced Principal Analysis'!$E$18,'Advanced Principal Analysis'!$E$21,'Advanced Principal Analysis'!$E$24), AVERAGE('Advanced Principal Analysis'!E48, 'Advanced Principal Analysis'!E72, 'Advanced Principal Analysis'!E96)))</f>
        <v>0</v>
      </c>
      <c r="O27" s="440">
        <f>IF(INSTRUCTIONS!$Q$8="Basic", SUM('Basic Principal Analysis'!$E$11, 'Basic Principal Analysis'!F30), SUM(AVERAGE('Advanced Principal Analysis'!$F$18,'Advanced Principal Analysis'!$F$21,'Advanced Principal Analysis'!$F$24), AVERAGE('Advanced Principal Analysis'!F48, 'Advanced Principal Analysis'!F72, 'Advanced Principal Analysis'!F96)))</f>
        <v>0</v>
      </c>
      <c r="P27" s="501" t="e">
        <f t="shared" si="3"/>
        <v>#N/A</v>
      </c>
      <c r="Q27" s="502" t="e">
        <f t="shared" si="4"/>
        <v>#N/A</v>
      </c>
      <c r="R27" s="393" t="e">
        <f t="shared" si="5"/>
        <v>#N/A</v>
      </c>
      <c r="S27" s="502" t="e">
        <f t="shared" si="6"/>
        <v>#N/A</v>
      </c>
    </row>
    <row r="28" spans="2:25">
      <c r="B28" s="4">
        <v>9</v>
      </c>
      <c r="C28" s="155" t="e">
        <f>IF(INSTRUCTIONS!$Q$7="Basic",_xlfn.XLOOKUP(B28,'Basic Teacher Analysis'!$Q$5:$Q$35,'Basic Teacher Analysis'!$R$5:$R$35),_xlfn.XLOOKUP(B28,'Advanced Teacher Analysis'!$C$6:$C$36,'Advanced Teacher Analysis'!$E$6:$E$36))</f>
        <v>#DIV/0!</v>
      </c>
      <c r="D28" s="387" t="e">
        <f>IF(INSTRUCTIONS!$Q$7="Basic",_xlfn.XLOOKUP(B28,'Basic Teacher Analysis'!$Q$5:$Q$35,'Basic Teacher Analysis'!$S$5:$S$35),_xlfn.XLOOKUP(B28,'Advanced Teacher Analysis'!$C$97:$C$127, 'Advanced Teacher Analysis'!$E$97:$E$127))</f>
        <v>#DIV/0!</v>
      </c>
      <c r="K28" s="153">
        <f>IF(INSTRUCTIONS!$Q$8="Basic", 'Basic - Principals and APs'!J29, 'Advanced - Principals and APs'!J36)</f>
        <v>0</v>
      </c>
      <c r="L28" s="438">
        <f>IF(AND(INSTRUCTIONS!$Q$8="Basic",'Basic - Principals and APs'!L29&gt;0),SUM('Basic Principal Analysis'!$D$10,'Basic Principal Analysis'!E19),IF(AND(INSTRUCTIONS!$Q$8="Advanced",'Advanced - Principals and APs'!L68&gt;0, 'Advanced - Principals and APs'!L52&gt;0, 'Advanced - Principals and APs'!L36&gt;0),SUM(AVERAGE('Advanced Principal Analysis'!$E$17,'Advanced Principal Analysis'!$E$20,'Advanced Principal Analysis'!$E$23),AVERAGE('Advanced Principal Analysis'!E37,'Advanced Principal Analysis'!E61,'Advanced Principal Analysis'!E85)), 0))</f>
        <v>0</v>
      </c>
      <c r="M28" s="439">
        <f>IF(AND(INSTRUCTIONS!$Q$8="Basic",'Basic - Principals and APs'!M29&gt;0),SUM('Basic Principal Analysis'!$E$10,'Basic Principal Analysis'!F19),IF(AND(INSTRUCTIONS!$Q$8="Advanced",'Advanced - Principals and APs'!M68&gt;0, 'Advanced - Principals and APs'!M52&gt;0, 'Advanced - Principals and APs'!M36&gt;0),SUM(AVERAGE('Advanced Principal Analysis'!$F$17,'Advanced Principal Analysis'!$F$20,'Advanced Principal Analysis'!$F$23),AVERAGE('Advanced Principal Analysis'!F37,'Advanced Principal Analysis'!F61,'Advanced Principal Analysis'!F85)), 0))</f>
        <v>0</v>
      </c>
      <c r="N28" s="440">
        <f>IF(AND(INSTRUCTIONS!$Q$8="Basic", 'Basic - Principals and APs'!O29&gt;0), SUM('Basic Principal Analysis'!$D$11, 'Basic Principal Analysis'!E31), IF(AND(INSTRUCTIONS!$Q$8="Advanced", 'Advanced - Principals and APs'!O36&gt;0, 'Advanced - Principals and APs'!O52&gt;0, 'Advanced - Principals and APs'!O68&gt;0), SUM(AVERAGE('Advanced Principal Analysis'!$E$18,'Advanced Principal Analysis'!$E$21,'Advanced Principal Analysis'!$E$24), AVERAGE('Advanced Principal Analysis'!E49, 'Advanced Principal Analysis'!E73, 'Advanced Principal Analysis'!E97)),0))</f>
        <v>0</v>
      </c>
      <c r="O28" s="440">
        <f>IF(AND(INSTRUCTIONS!$Q$8="Basic", 'Basic - Principals and APs'!P29&gt;0), SUM('Basic Principal Analysis'!$E$11, 'Basic Principal Analysis'!F31), IF(AND(INSTRUCTIONS!$Q$8="Advanced", 'Advanced - Principals and APs'!P36&gt;0, 'Advanced - Principals and APs'!P52&gt;0, 'Advanced - Principals and APs'!P68&gt;0), SUM(AVERAGE('Advanced Principal Analysis'!$F$18,'Advanced Principal Analysis'!$F$21,'Advanced Principal Analysis'!$F$24), AVERAGE('Advanced Principal Analysis'!F49, 'Advanced Principal Analysis'!F73, 'Advanced Principal Analysis'!F97)),0))</f>
        <v>0</v>
      </c>
      <c r="P28" s="501" t="e">
        <f t="shared" si="3"/>
        <v>#N/A</v>
      </c>
      <c r="Q28" s="502" t="e">
        <f t="shared" si="4"/>
        <v>#N/A</v>
      </c>
      <c r="R28" s="393" t="e">
        <f t="shared" si="5"/>
        <v>#N/A</v>
      </c>
      <c r="S28" s="502" t="e">
        <f t="shared" si="6"/>
        <v>#N/A</v>
      </c>
    </row>
    <row r="29" spans="2:25">
      <c r="B29" s="4">
        <v>10</v>
      </c>
      <c r="C29" s="155" t="e">
        <f>IF(INSTRUCTIONS!$Q$7="Basic",_xlfn.XLOOKUP(B29,'Basic Teacher Analysis'!$Q$5:$Q$35,'Basic Teacher Analysis'!$R$5:$R$35),_xlfn.XLOOKUP(B29,'Advanced Teacher Analysis'!$C$6:$C$36,'Advanced Teacher Analysis'!$E$6:$E$36))</f>
        <v>#DIV/0!</v>
      </c>
      <c r="D29" s="387" t="e">
        <f>IF(INSTRUCTIONS!$Q$7="Basic",_xlfn.XLOOKUP(B29,'Basic Teacher Analysis'!$Q$5:$Q$35,'Basic Teacher Analysis'!$S$5:$S$35),_xlfn.XLOOKUP(B29,'Advanced Teacher Analysis'!$C$97:$C$127, 'Advanced Teacher Analysis'!$E$97:$E$127))</f>
        <v>#DIV/0!</v>
      </c>
      <c r="K29" s="153">
        <f>IF(INSTRUCTIONS!$Q$8="Basic", 'Basic - Principals and APs'!J30, 'Advanced - Principals and APs'!J37)</f>
        <v>0</v>
      </c>
      <c r="L29" s="438">
        <f>IF(AND(INSTRUCTIONS!$Q$8="Basic",'Basic - Principals and APs'!L30&gt;0),SUM('Basic Principal Analysis'!$D$10,'Basic Principal Analysis'!E20),IF(AND(INSTRUCTIONS!$Q$8="Advanced",'Advanced - Principals and APs'!L69&gt;0, 'Advanced - Principals and APs'!L53&gt;0, 'Advanced - Principals and APs'!L37&gt;0),SUM(AVERAGE('Advanced Principal Analysis'!$E$17,'Advanced Principal Analysis'!$E$20,'Advanced Principal Analysis'!$E$23),AVERAGE('Advanced Principal Analysis'!E38,'Advanced Principal Analysis'!E62,'Advanced Principal Analysis'!E86)), 0))</f>
        <v>0</v>
      </c>
      <c r="M29" s="439">
        <f>IF(AND(INSTRUCTIONS!$Q$8="Basic",'Basic - Principals and APs'!M30&gt;0),SUM('Basic Principal Analysis'!$E$10,'Basic Principal Analysis'!F20),IF(AND(INSTRUCTIONS!$Q$8="Advanced",'Advanced - Principals and APs'!M69&gt;0, 'Advanced - Principals and APs'!M53&gt;0, 'Advanced - Principals and APs'!M37&gt;0),SUM(AVERAGE('Advanced Principal Analysis'!$F$17,'Advanced Principal Analysis'!$F$20,'Advanced Principal Analysis'!$F$23),AVERAGE('Advanced Principal Analysis'!F38,'Advanced Principal Analysis'!F62,'Advanced Principal Analysis'!F86)), 0))</f>
        <v>0</v>
      </c>
      <c r="N29" s="440">
        <f>IF(AND(INSTRUCTIONS!$Q$8="Basic", 'Basic - Principals and APs'!O30&gt;0), SUM('Basic Principal Analysis'!$D$11, 'Basic Principal Analysis'!E32), IF(AND(INSTRUCTIONS!$Q$8="Advanced", 'Advanced - Principals and APs'!O37&gt;0, 'Advanced - Principals and APs'!O53&gt;0, 'Advanced - Principals and APs'!O69&gt;0), SUM(AVERAGE('Advanced Principal Analysis'!$E$18,'Advanced Principal Analysis'!$E$21,'Advanced Principal Analysis'!$E$24), AVERAGE('Advanced Principal Analysis'!E50, 'Advanced Principal Analysis'!E74, 'Advanced Principal Analysis'!E98)),0))</f>
        <v>0</v>
      </c>
      <c r="O29" s="440">
        <f>IF(AND(INSTRUCTIONS!$Q$8="Basic", 'Basic - Principals and APs'!P30&gt;0), SUM('Basic Principal Analysis'!$E$11, 'Basic Principal Analysis'!F32), IF(AND(INSTRUCTIONS!$Q$8="Advanced", 'Advanced - Principals and APs'!P37&gt;0, 'Advanced - Principals and APs'!P53&gt;0, 'Advanced - Principals and APs'!P69&gt;0), SUM(AVERAGE('Advanced Principal Analysis'!$F$18,'Advanced Principal Analysis'!$F$21,'Advanced Principal Analysis'!$F$24), AVERAGE('Advanced Principal Analysis'!F50, 'Advanced Principal Analysis'!F74, 'Advanced Principal Analysis'!F98)),0))</f>
        <v>0</v>
      </c>
      <c r="P29" s="501" t="e">
        <f t="shared" si="3"/>
        <v>#N/A</v>
      </c>
      <c r="Q29" s="502" t="e">
        <f t="shared" si="4"/>
        <v>#N/A</v>
      </c>
      <c r="R29" s="393" t="e">
        <f t="shared" si="5"/>
        <v>#N/A</v>
      </c>
      <c r="S29" s="502" t="e">
        <f t="shared" si="6"/>
        <v>#N/A</v>
      </c>
    </row>
    <row r="30" spans="2:25">
      <c r="B30" s="4">
        <v>11</v>
      </c>
      <c r="C30" s="155" t="e">
        <f>IF(INSTRUCTIONS!$Q$7="Basic",_xlfn.XLOOKUP(B30,'Basic Teacher Analysis'!$Q$5:$Q$35,'Basic Teacher Analysis'!$R$5:$R$35),_xlfn.XLOOKUP(B30,'Advanced Teacher Analysis'!$C$6:$C$36,'Advanced Teacher Analysis'!$E$6:$E$36))</f>
        <v>#DIV/0!</v>
      </c>
      <c r="D30" s="387" t="e">
        <f>IF(INSTRUCTIONS!$Q$7="Basic",_xlfn.XLOOKUP(B30,'Basic Teacher Analysis'!$Q$5:$Q$35,'Basic Teacher Analysis'!$S$5:$S$35),_xlfn.XLOOKUP(B30,'Advanced Teacher Analysis'!$C$97:$C$127, 'Advanced Teacher Analysis'!$E$97:$E$127))</f>
        <v>#DIV/0!</v>
      </c>
      <c r="K30" s="153">
        <f>IF(INSTRUCTIONS!$Q$8="Basic", 'Basic - Principals and APs'!J31, 'Advanced - Principals and APs'!J38)</f>
        <v>0</v>
      </c>
      <c r="L30" s="438">
        <f>IF(AND(INSTRUCTIONS!$Q$8="Basic",'Basic - Principals and APs'!L31&gt;0),SUM('Basic Principal Analysis'!$D$10,'Basic Principal Analysis'!E21),IF(AND(INSTRUCTIONS!$Q$8="Advanced",'Advanced - Principals and APs'!L70&gt;0, 'Advanced - Principals and APs'!L54&gt;0, 'Advanced - Principals and APs'!L38&gt;0),SUM(AVERAGE('Advanced Principal Analysis'!$E$17,'Advanced Principal Analysis'!$E$20,'Advanced Principal Analysis'!$E$23),AVERAGE('Advanced Principal Analysis'!E39,'Advanced Principal Analysis'!E63,'Advanced Principal Analysis'!E87)), 0))</f>
        <v>0</v>
      </c>
      <c r="M30" s="439">
        <f>IF(AND(INSTRUCTIONS!$Q$8="Basic",'Basic - Principals and APs'!M31&gt;0),SUM('Basic Principal Analysis'!$E$10,'Basic Principal Analysis'!F21),IF(AND(INSTRUCTIONS!$Q$8="Advanced",'Advanced - Principals and APs'!M70&gt;0, 'Advanced - Principals and APs'!M54&gt;0, 'Advanced - Principals and APs'!M38&gt;0),SUM(AVERAGE('Advanced Principal Analysis'!$F$17,'Advanced Principal Analysis'!$F$20,'Advanced Principal Analysis'!$F$23),AVERAGE('Advanced Principal Analysis'!F39,'Advanced Principal Analysis'!F63,'Advanced Principal Analysis'!F87)), 0))</f>
        <v>0</v>
      </c>
      <c r="N30" s="440">
        <f>IF(AND(INSTRUCTIONS!$Q$8="Basic", 'Basic - Principals and APs'!O31&gt;0), SUM('Basic Principal Analysis'!$D$11, 'Basic Principal Analysis'!E33), IF(AND(INSTRUCTIONS!$Q$8="Advanced", 'Advanced - Principals and APs'!O38&gt;0, 'Advanced - Principals and APs'!O54&gt;0, 'Advanced - Principals and APs'!O70&gt;0), SUM(AVERAGE('Advanced Principal Analysis'!$E$18,'Advanced Principal Analysis'!$E$21,'Advanced Principal Analysis'!$E$24), AVERAGE('Advanced Principal Analysis'!E51, 'Advanced Principal Analysis'!E75, 'Advanced Principal Analysis'!E99)),0))</f>
        <v>0</v>
      </c>
      <c r="O30" s="440">
        <f>IF(AND(INSTRUCTIONS!$Q$8="Basic", 'Basic - Principals and APs'!P31&gt;0), SUM('Basic Principal Analysis'!$E$11, 'Basic Principal Analysis'!F33), IF(AND(INSTRUCTIONS!$Q$8="Advanced", 'Advanced - Principals and APs'!P38&gt;0, 'Advanced - Principals and APs'!P54&gt;0, 'Advanced - Principals and APs'!P70&gt;0), SUM(AVERAGE('Advanced Principal Analysis'!$F$18,'Advanced Principal Analysis'!$F$21,'Advanced Principal Analysis'!$F$24), AVERAGE('Advanced Principal Analysis'!F51, 'Advanced Principal Analysis'!F75, 'Advanced Principal Analysis'!F99)),0))</f>
        <v>0</v>
      </c>
      <c r="P30" s="501" t="e">
        <f t="shared" si="3"/>
        <v>#N/A</v>
      </c>
      <c r="Q30" s="502" t="e">
        <f t="shared" si="4"/>
        <v>#N/A</v>
      </c>
      <c r="R30" s="393" t="e">
        <f t="shared" si="5"/>
        <v>#N/A</v>
      </c>
      <c r="S30" s="502" t="e">
        <f t="shared" si="6"/>
        <v>#N/A</v>
      </c>
    </row>
    <row r="31" spans="2:25">
      <c r="B31" s="4">
        <v>12</v>
      </c>
      <c r="C31" s="155" t="e">
        <f>IF(INSTRUCTIONS!$Q$7="Basic",_xlfn.XLOOKUP(B31,'Basic Teacher Analysis'!$Q$5:$Q$35,'Basic Teacher Analysis'!$R$5:$R$35),_xlfn.XLOOKUP(B31,'Advanced Teacher Analysis'!$C$6:$C$36,'Advanced Teacher Analysis'!$E$6:$E$36))</f>
        <v>#DIV/0!</v>
      </c>
      <c r="D31" s="387" t="e">
        <f>IF(INSTRUCTIONS!$Q$7="Basic",_xlfn.XLOOKUP(B31,'Basic Teacher Analysis'!$Q$5:$Q$35,'Basic Teacher Analysis'!$S$5:$S$35),_xlfn.XLOOKUP(B31,'Advanced Teacher Analysis'!$C$97:$C$127, 'Advanced Teacher Analysis'!$E$97:$E$127))</f>
        <v>#DIV/0!</v>
      </c>
      <c r="K31" s="153">
        <f>IF(INSTRUCTIONS!$Q$8="Basic", 'Basic - Principals and APs'!J32, 'Advanced - Principals and APs'!J39)</f>
        <v>0</v>
      </c>
      <c r="L31" s="438">
        <f>IF(AND(INSTRUCTIONS!$Q$8="Basic",'Basic - Principals and APs'!L32&gt;0),SUM('Basic Principal Analysis'!$D$10,'Basic Principal Analysis'!E22),IF(AND(INSTRUCTIONS!$Q$8="Advanced",'Advanced - Principals and APs'!L71&gt;0, 'Advanced - Principals and APs'!L55&gt;0, 'Advanced - Principals and APs'!L39&gt;0),SUM(AVERAGE('Advanced Principal Analysis'!$E$17,'Advanced Principal Analysis'!$E$20,'Advanced Principal Analysis'!$E$23),AVERAGE('Advanced Principal Analysis'!E40,'Advanced Principal Analysis'!E64,'Advanced Principal Analysis'!E88)), 0))</f>
        <v>0</v>
      </c>
      <c r="M31" s="439">
        <f>IF(AND(INSTRUCTIONS!$Q$8="Basic",'Basic - Principals and APs'!M32&gt;0),SUM('Basic Principal Analysis'!$E$10,'Basic Principal Analysis'!F22),IF(AND(INSTRUCTIONS!$Q$8="Advanced",'Advanced - Principals and APs'!M71&gt;0, 'Advanced - Principals and APs'!M55&gt;0, 'Advanced - Principals and APs'!M39&gt;0),SUM(AVERAGE('Advanced Principal Analysis'!$F$17,'Advanced Principal Analysis'!$F$20,'Advanced Principal Analysis'!$F$23),AVERAGE('Advanced Principal Analysis'!F40,'Advanced Principal Analysis'!F64,'Advanced Principal Analysis'!F88)), 0))</f>
        <v>0</v>
      </c>
      <c r="N31" s="440">
        <f>IF(AND(INSTRUCTIONS!$Q$8="Basic", 'Basic - Principals and APs'!O32&gt;0), SUM('Basic Principal Analysis'!$D$11, 'Basic Principal Analysis'!E34), IF(AND(INSTRUCTIONS!$Q$8="Advanced", 'Advanced - Principals and APs'!O39&gt;0, 'Advanced - Principals and APs'!O55&gt;0, 'Advanced - Principals and APs'!O71&gt;0), SUM(AVERAGE('Advanced Principal Analysis'!$E$18,'Advanced Principal Analysis'!$E$21,'Advanced Principal Analysis'!$E$24), AVERAGE('Advanced Principal Analysis'!E52, 'Advanced Principal Analysis'!E76, 'Advanced Principal Analysis'!E100)),0))</f>
        <v>0</v>
      </c>
      <c r="O31" s="440">
        <f>IF(AND(INSTRUCTIONS!$Q$8="Basic", 'Basic - Principals and APs'!P32&gt;0), SUM('Basic Principal Analysis'!$E$11, 'Basic Principal Analysis'!F34), IF(AND(INSTRUCTIONS!$Q$8="Advanced", 'Advanced - Principals and APs'!P39&gt;0, 'Advanced - Principals and APs'!P55&gt;0, 'Advanced - Principals and APs'!P71&gt;0), SUM(AVERAGE('Advanced Principal Analysis'!$F$18,'Advanced Principal Analysis'!$F$21,'Advanced Principal Analysis'!$F$24), AVERAGE('Advanced Principal Analysis'!F52, 'Advanced Principal Analysis'!F76, 'Advanced Principal Analysis'!F100)),0))</f>
        <v>0</v>
      </c>
      <c r="P31" s="501" t="e">
        <f t="shared" si="3"/>
        <v>#N/A</v>
      </c>
      <c r="Q31" s="502" t="e">
        <f t="shared" si="4"/>
        <v>#N/A</v>
      </c>
      <c r="R31" s="393" t="e">
        <f t="shared" si="5"/>
        <v>#N/A</v>
      </c>
      <c r="S31" s="502" t="e">
        <f t="shared" si="6"/>
        <v>#N/A</v>
      </c>
    </row>
    <row r="32" spans="2:25" ht="15" thickBot="1">
      <c r="B32" s="4">
        <v>13</v>
      </c>
      <c r="C32" s="155" t="e">
        <f>IF(INSTRUCTIONS!$Q$7="Basic",_xlfn.XLOOKUP(B32,'Basic Teacher Analysis'!$Q$5:$Q$35,'Basic Teacher Analysis'!$R$5:$R$35),_xlfn.XLOOKUP(B32,'Advanced Teacher Analysis'!$C$6:$C$36,'Advanced Teacher Analysis'!$E$6:$E$36))</f>
        <v>#DIV/0!</v>
      </c>
      <c r="D32" s="387" t="e">
        <f>IF(INSTRUCTIONS!$Q$7="Basic",_xlfn.XLOOKUP(B32,'Basic Teacher Analysis'!$Q$5:$Q$35,'Basic Teacher Analysis'!$S$5:$S$35),_xlfn.XLOOKUP(B32,'Advanced Teacher Analysis'!$C$97:$C$127, 'Advanced Teacher Analysis'!$E$97:$E$127))</f>
        <v>#DIV/0!</v>
      </c>
      <c r="K32" s="90">
        <f>IF(INSTRUCTIONS!$Q$8="Basic", 'Basic - Principals and APs'!J33, 'Advanced - Principals and APs'!J40)</f>
        <v>0</v>
      </c>
      <c r="L32" s="442">
        <f>IF(AND(INSTRUCTIONS!$Q$8="Basic",'Basic - Principals and APs'!L33&gt;0),SUM('Basic Principal Analysis'!$D$10,'Basic Principal Analysis'!E23),IF(AND(INSTRUCTIONS!$Q$8="Advanced",'Advanced - Principals and APs'!L72&gt;0, 'Advanced - Principals and APs'!L56&gt;0, 'Advanced - Principals and APs'!L40&gt;0),SUM(AVERAGE('Advanced Principal Analysis'!$E$17,'Advanced Principal Analysis'!$E$20,'Advanced Principal Analysis'!$E$23),AVERAGE('Advanced Principal Analysis'!E41,'Advanced Principal Analysis'!E65,'Advanced Principal Analysis'!E89)), 0))</f>
        <v>0</v>
      </c>
      <c r="M32" s="441">
        <f>IF(AND(INSTRUCTIONS!$Q$8="Basic",'Basic - Principals and APs'!M33&gt;0),SUM('Basic Principal Analysis'!$E$10,'Basic Principal Analysis'!F23),IF(AND(INSTRUCTIONS!$Q$8="Advanced",'Advanced - Principals and APs'!M72&gt;0, 'Advanced - Principals and APs'!M56&gt;0, 'Advanced - Principals and APs'!M40&gt;0),SUM(AVERAGE('Advanced Principal Analysis'!$F$17,'Advanced Principal Analysis'!$F$20,'Advanced Principal Analysis'!$F$23),AVERAGE('Advanced Principal Analysis'!F41,'Advanced Principal Analysis'!F65,'Advanced Principal Analysis'!F89)), 0))</f>
        <v>0</v>
      </c>
      <c r="N32" s="443">
        <f>IF(AND(INSTRUCTIONS!$Q$8="Basic", 'Basic - Principals and APs'!O33&gt;0), SUM('Basic Principal Analysis'!$D$11, 'Basic Principal Analysis'!E35), IF(AND(INSTRUCTIONS!$Q$8="Advanced", 'Advanced - Principals and APs'!O40&gt;0, 'Advanced - Principals and APs'!O56&gt;0, 'Advanced - Principals and APs'!O72&gt;0), SUM(AVERAGE('Advanced Principal Analysis'!$E$18,'Advanced Principal Analysis'!$E$21,'Advanced Principal Analysis'!$E$24), AVERAGE('Advanced Principal Analysis'!E53, 'Advanced Principal Analysis'!E77, 'Advanced Principal Analysis'!E101)),0))</f>
        <v>0</v>
      </c>
      <c r="O32" s="443">
        <f>IF(AND(INSTRUCTIONS!$Q$8="Basic", 'Basic - Principals and APs'!P33&gt;0), SUM('Basic Principal Analysis'!$E$11, 'Basic Principal Analysis'!F35), IF(AND(INSTRUCTIONS!$Q$8="Advanced", 'Advanced - Principals and APs'!P40&gt;0, 'Advanced - Principals and APs'!P56&gt;0, 'Advanced - Principals and APs'!P72&gt;0), SUM(AVERAGE('Advanced Principal Analysis'!$F$18,'Advanced Principal Analysis'!$F$21,'Advanced Principal Analysis'!$F$24), AVERAGE('Advanced Principal Analysis'!F53, 'Advanced Principal Analysis'!F77, 'Advanced Principal Analysis'!F101)),0))</f>
        <v>0</v>
      </c>
      <c r="P32" s="503" t="e">
        <f t="shared" si="3"/>
        <v>#N/A</v>
      </c>
      <c r="Q32" s="505" t="e">
        <f t="shared" si="4"/>
        <v>#N/A</v>
      </c>
      <c r="R32" s="504" t="e">
        <f t="shared" si="5"/>
        <v>#N/A</v>
      </c>
      <c r="S32" s="505" t="e">
        <f t="shared" si="6"/>
        <v>#N/A</v>
      </c>
    </row>
    <row r="33" spans="2:4">
      <c r="B33" s="4">
        <v>14</v>
      </c>
      <c r="C33" s="155" t="e">
        <f>IF(INSTRUCTIONS!$Q$7="Basic",_xlfn.XLOOKUP(B33,'Basic Teacher Analysis'!$Q$5:$Q$35,'Basic Teacher Analysis'!$R$5:$R$35),_xlfn.XLOOKUP(B33,'Advanced Teacher Analysis'!$C$6:$C$36,'Advanced Teacher Analysis'!$E$6:$E$36))</f>
        <v>#DIV/0!</v>
      </c>
      <c r="D33" s="387" t="e">
        <f>IF(INSTRUCTIONS!$Q$7="Basic",_xlfn.XLOOKUP(B33,'Basic Teacher Analysis'!$Q$5:$Q$35,'Basic Teacher Analysis'!$S$5:$S$35),_xlfn.XLOOKUP(B33,'Advanced Teacher Analysis'!$C$97:$C$127, 'Advanced Teacher Analysis'!$E$97:$E$127))</f>
        <v>#DIV/0!</v>
      </c>
    </row>
    <row r="34" spans="2:4">
      <c r="B34" s="4">
        <v>15</v>
      </c>
      <c r="C34" s="155" t="e">
        <f>IF(INSTRUCTIONS!$Q$7="Basic",_xlfn.XLOOKUP(B34,'Basic Teacher Analysis'!$Q$5:$Q$35,'Basic Teacher Analysis'!$R$5:$R$35),_xlfn.XLOOKUP(B34,'Advanced Teacher Analysis'!$C$6:$C$36,'Advanced Teacher Analysis'!$E$6:$E$36))</f>
        <v>#DIV/0!</v>
      </c>
      <c r="D34" s="387" t="e">
        <f>IF(INSTRUCTIONS!$Q$7="Basic",_xlfn.XLOOKUP(B34,'Basic Teacher Analysis'!$Q$5:$Q$35,'Basic Teacher Analysis'!$S$5:$S$35),_xlfn.XLOOKUP(B34,'Advanced Teacher Analysis'!$C$97:$C$127, 'Advanced Teacher Analysis'!$E$97:$E$127))</f>
        <v>#DIV/0!</v>
      </c>
    </row>
    <row r="35" spans="2:4">
      <c r="B35" s="4">
        <v>16</v>
      </c>
      <c r="C35" s="155" t="e">
        <f>IF(INSTRUCTIONS!$Q$7="Basic",_xlfn.XLOOKUP(B35,'Basic Teacher Analysis'!$Q$5:$Q$35,'Basic Teacher Analysis'!$R$5:$R$35),_xlfn.XLOOKUP(B35,'Advanced Teacher Analysis'!$C$6:$C$36,'Advanced Teacher Analysis'!$E$6:$E$36))</f>
        <v>#DIV/0!</v>
      </c>
      <c r="D35" s="387" t="e">
        <f>IF(INSTRUCTIONS!$Q$7="Basic",_xlfn.XLOOKUP(B35,'Basic Teacher Analysis'!$Q$5:$Q$35,'Basic Teacher Analysis'!$S$5:$S$35),_xlfn.XLOOKUP(B35,'Advanced Teacher Analysis'!$C$97:$C$127, 'Advanced Teacher Analysis'!$E$97:$E$127))</f>
        <v>#DIV/0!</v>
      </c>
    </row>
    <row r="36" spans="2:4">
      <c r="B36" s="4">
        <v>17</v>
      </c>
      <c r="C36" s="155" t="e">
        <f>IF(INSTRUCTIONS!$Q$7="Basic",_xlfn.XLOOKUP(B36,'Basic Teacher Analysis'!$Q$5:$Q$35,'Basic Teacher Analysis'!$R$5:$R$35),_xlfn.XLOOKUP(B36,'Advanced Teacher Analysis'!$C$6:$C$36,'Advanced Teacher Analysis'!$E$6:$E$36))</f>
        <v>#DIV/0!</v>
      </c>
      <c r="D36" s="387" t="e">
        <f>IF(INSTRUCTIONS!$Q$7="Basic",_xlfn.XLOOKUP(B36,'Basic Teacher Analysis'!$Q$5:$Q$35,'Basic Teacher Analysis'!$S$5:$S$35),_xlfn.XLOOKUP(B36,'Advanced Teacher Analysis'!$C$97:$C$127, 'Advanced Teacher Analysis'!$E$97:$E$127))</f>
        <v>#DIV/0!</v>
      </c>
    </row>
    <row r="37" spans="2:4">
      <c r="B37" s="4">
        <v>18</v>
      </c>
      <c r="C37" s="155" t="e">
        <f>IF(INSTRUCTIONS!$Q$7="Basic",_xlfn.XLOOKUP(B37,'Basic Teacher Analysis'!$Q$5:$Q$35,'Basic Teacher Analysis'!$R$5:$R$35),_xlfn.XLOOKUP(B37,'Advanced Teacher Analysis'!$C$6:$C$36,'Advanced Teacher Analysis'!$E$6:$E$36))</f>
        <v>#DIV/0!</v>
      </c>
      <c r="D37" s="387" t="e">
        <f>IF(INSTRUCTIONS!$Q$7="Basic",_xlfn.XLOOKUP(B37,'Basic Teacher Analysis'!$Q$5:$Q$35,'Basic Teacher Analysis'!$S$5:$S$35),_xlfn.XLOOKUP(B37,'Advanced Teacher Analysis'!$C$97:$C$127, 'Advanced Teacher Analysis'!$E$97:$E$127))</f>
        <v>#DIV/0!</v>
      </c>
    </row>
    <row r="38" spans="2:4">
      <c r="B38" s="4">
        <v>19</v>
      </c>
      <c r="C38" s="155" t="e">
        <f>IF(INSTRUCTIONS!$Q$7="Basic",_xlfn.XLOOKUP(B38,'Basic Teacher Analysis'!$Q$5:$Q$35,'Basic Teacher Analysis'!$R$5:$R$35),_xlfn.XLOOKUP(B38,'Advanced Teacher Analysis'!$C$6:$C$36,'Advanced Teacher Analysis'!$E$6:$E$36))</f>
        <v>#DIV/0!</v>
      </c>
      <c r="D38" s="387" t="e">
        <f>IF(INSTRUCTIONS!$Q$7="Basic",_xlfn.XLOOKUP(B38,'Basic Teacher Analysis'!$Q$5:$Q$35,'Basic Teacher Analysis'!$S$5:$S$35),_xlfn.XLOOKUP(B38,'Advanced Teacher Analysis'!$C$97:$C$127, 'Advanced Teacher Analysis'!$E$97:$E$127))</f>
        <v>#DIV/0!</v>
      </c>
    </row>
    <row r="39" spans="2:4">
      <c r="B39" s="4">
        <v>20</v>
      </c>
      <c r="C39" s="155" t="e">
        <f>IF(INSTRUCTIONS!$Q$7="Basic",_xlfn.XLOOKUP(B39,'Basic Teacher Analysis'!$Q$5:$Q$35,'Basic Teacher Analysis'!$R$5:$R$35),_xlfn.XLOOKUP(B39,'Advanced Teacher Analysis'!$C$6:$C$36,'Advanced Teacher Analysis'!$E$6:$E$36))</f>
        <v>#DIV/0!</v>
      </c>
      <c r="D39" s="387" t="e">
        <f>IF(INSTRUCTIONS!$Q$7="Basic",_xlfn.XLOOKUP(B39,'Basic Teacher Analysis'!$Q$5:$Q$35,'Basic Teacher Analysis'!$S$5:$S$35),_xlfn.XLOOKUP(B39,'Advanced Teacher Analysis'!$C$97:$C$127, 'Advanced Teacher Analysis'!$E$97:$E$127))</f>
        <v>#DIV/0!</v>
      </c>
    </row>
    <row r="40" spans="2:4">
      <c r="B40" s="4">
        <v>21</v>
      </c>
      <c r="C40" s="155" t="e">
        <f>IF(INSTRUCTIONS!$Q$7="Basic",_xlfn.XLOOKUP(B40,'Basic Teacher Analysis'!$Q$5:$Q$35,'Basic Teacher Analysis'!$R$5:$R$35),_xlfn.XLOOKUP(B40,'Advanced Teacher Analysis'!$C$6:$C$36,'Advanced Teacher Analysis'!$E$6:$E$36))</f>
        <v>#DIV/0!</v>
      </c>
      <c r="D40" s="387" t="e">
        <f>IF(INSTRUCTIONS!$Q$7="Basic",_xlfn.XLOOKUP(B40,'Basic Teacher Analysis'!$Q$5:$Q$35,'Basic Teacher Analysis'!$S$5:$S$35),_xlfn.XLOOKUP(B40,'Advanced Teacher Analysis'!$C$97:$C$127, 'Advanced Teacher Analysis'!$E$97:$E$127))</f>
        <v>#DIV/0!</v>
      </c>
    </row>
    <row r="41" spans="2:4">
      <c r="B41" s="4">
        <v>22</v>
      </c>
      <c r="C41" s="155" t="e">
        <f>IF(INSTRUCTIONS!$Q$7="Basic",_xlfn.XLOOKUP(B41,'Basic Teacher Analysis'!$Q$5:$Q$35,'Basic Teacher Analysis'!$R$5:$R$35),_xlfn.XLOOKUP(B41,'Advanced Teacher Analysis'!$C$6:$C$36,'Advanced Teacher Analysis'!$E$6:$E$36))</f>
        <v>#DIV/0!</v>
      </c>
      <c r="D41" s="387" t="e">
        <f>IF(INSTRUCTIONS!$Q$7="Basic",_xlfn.XLOOKUP(B41,'Basic Teacher Analysis'!$Q$5:$Q$35,'Basic Teacher Analysis'!$S$5:$S$35),_xlfn.XLOOKUP(B41,'Advanced Teacher Analysis'!$C$97:$C$127, 'Advanced Teacher Analysis'!$E$97:$E$127))</f>
        <v>#DIV/0!</v>
      </c>
    </row>
    <row r="42" spans="2:4">
      <c r="B42" s="4">
        <v>23</v>
      </c>
      <c r="C42" s="155" t="e">
        <f>IF(INSTRUCTIONS!$Q$7="Basic",_xlfn.XLOOKUP(B42,'Basic Teacher Analysis'!$Q$5:$Q$35,'Basic Teacher Analysis'!$R$5:$R$35),_xlfn.XLOOKUP(B42,'Advanced Teacher Analysis'!$C$6:$C$36,'Advanced Teacher Analysis'!$E$6:$E$36))</f>
        <v>#DIV/0!</v>
      </c>
      <c r="D42" s="387" t="e">
        <f>IF(INSTRUCTIONS!$Q$7="Basic",_xlfn.XLOOKUP(B42,'Basic Teacher Analysis'!$Q$5:$Q$35,'Basic Teacher Analysis'!$S$5:$S$35),_xlfn.XLOOKUP(B42,'Advanced Teacher Analysis'!$C$97:$C$127, 'Advanced Teacher Analysis'!$E$97:$E$127))</f>
        <v>#DIV/0!</v>
      </c>
    </row>
    <row r="43" spans="2:4">
      <c r="B43" s="4">
        <v>24</v>
      </c>
      <c r="C43" s="155" t="e">
        <f>IF(INSTRUCTIONS!$Q$7="Basic",_xlfn.XLOOKUP(B43,'Basic Teacher Analysis'!$Q$5:$Q$35,'Basic Teacher Analysis'!$R$5:$R$35),_xlfn.XLOOKUP(B43,'Advanced Teacher Analysis'!$C$6:$C$36,'Advanced Teacher Analysis'!$E$6:$E$36))</f>
        <v>#DIV/0!</v>
      </c>
      <c r="D43" s="387" t="e">
        <f>IF(INSTRUCTIONS!$Q$7="Basic",_xlfn.XLOOKUP(B43,'Basic Teacher Analysis'!$Q$5:$Q$35,'Basic Teacher Analysis'!$S$5:$S$35),_xlfn.XLOOKUP(B43,'Advanced Teacher Analysis'!$C$97:$C$127, 'Advanced Teacher Analysis'!$E$97:$E$127))</f>
        <v>#DIV/0!</v>
      </c>
    </row>
    <row r="44" spans="2:4">
      <c r="B44" s="4">
        <v>25</v>
      </c>
      <c r="C44" s="155" t="e">
        <f>IF(INSTRUCTIONS!$Q$7="Basic",_xlfn.XLOOKUP(B44,'Basic Teacher Analysis'!$Q$5:$Q$35,'Basic Teacher Analysis'!$R$5:$R$35),_xlfn.XLOOKUP(B44,'Advanced Teacher Analysis'!$C$6:$C$36,'Advanced Teacher Analysis'!$E$6:$E$36))</f>
        <v>#DIV/0!</v>
      </c>
      <c r="D44" s="387" t="e">
        <f>IF(INSTRUCTIONS!$Q$7="Basic",_xlfn.XLOOKUP(B44,'Basic Teacher Analysis'!$Q$5:$Q$35,'Basic Teacher Analysis'!$S$5:$S$35),_xlfn.XLOOKUP(B44,'Advanced Teacher Analysis'!$C$97:$C$127, 'Advanced Teacher Analysis'!$E$97:$E$127))</f>
        <v>#DIV/0!</v>
      </c>
    </row>
    <row r="45" spans="2:4">
      <c r="B45" s="4">
        <v>26</v>
      </c>
      <c r="C45" s="155" t="e">
        <f>IF(INSTRUCTIONS!$Q$7="Basic",_xlfn.XLOOKUP(B45,'Basic Teacher Analysis'!$Q$5:$Q$35,'Basic Teacher Analysis'!$R$5:$R$35),_xlfn.XLOOKUP(B45,'Advanced Teacher Analysis'!$C$6:$C$36,'Advanced Teacher Analysis'!$E$6:$E$36))</f>
        <v>#DIV/0!</v>
      </c>
      <c r="D45" s="387" t="e">
        <f>IF(INSTRUCTIONS!$Q$7="Basic",_xlfn.XLOOKUP(B45,'Basic Teacher Analysis'!$Q$5:$Q$35,'Basic Teacher Analysis'!$S$5:$S$35),_xlfn.XLOOKUP(B45,'Advanced Teacher Analysis'!$C$97:$C$127, 'Advanced Teacher Analysis'!$E$97:$E$127))</f>
        <v>#DIV/0!</v>
      </c>
    </row>
    <row r="46" spans="2:4">
      <c r="B46" s="4">
        <v>27</v>
      </c>
      <c r="C46" s="155" t="e">
        <f>IF(INSTRUCTIONS!$Q$7="Basic",_xlfn.XLOOKUP(B46,'Basic Teacher Analysis'!$Q$5:$Q$35,'Basic Teacher Analysis'!$R$5:$R$35),_xlfn.XLOOKUP(B46,'Advanced Teacher Analysis'!$C$6:$C$36,'Advanced Teacher Analysis'!$E$6:$E$36))</f>
        <v>#DIV/0!</v>
      </c>
      <c r="D46" s="387" t="e">
        <f>IF(INSTRUCTIONS!$Q$7="Basic",_xlfn.XLOOKUP(B46,'Basic Teacher Analysis'!$Q$5:$Q$35,'Basic Teacher Analysis'!$S$5:$S$35),_xlfn.XLOOKUP(B46,'Advanced Teacher Analysis'!$C$97:$C$127, 'Advanced Teacher Analysis'!$E$97:$E$127))</f>
        <v>#DIV/0!</v>
      </c>
    </row>
    <row r="47" spans="2:4">
      <c r="B47" s="4">
        <v>28</v>
      </c>
      <c r="C47" s="155" t="e">
        <f>IF(INSTRUCTIONS!$Q$7="Basic",_xlfn.XLOOKUP(B47,'Basic Teacher Analysis'!$Q$5:$Q$35,'Basic Teacher Analysis'!$R$5:$R$35),_xlfn.XLOOKUP(B47,'Advanced Teacher Analysis'!$C$6:$C$36,'Advanced Teacher Analysis'!$E$6:$E$36))</f>
        <v>#DIV/0!</v>
      </c>
      <c r="D47" s="387" t="e">
        <f>IF(INSTRUCTIONS!$Q$7="Basic",_xlfn.XLOOKUP(B47,'Basic Teacher Analysis'!$Q$5:$Q$35,'Basic Teacher Analysis'!$S$5:$S$35),_xlfn.XLOOKUP(B47,'Advanced Teacher Analysis'!$C$97:$C$127, 'Advanced Teacher Analysis'!$E$97:$E$127))</f>
        <v>#DIV/0!</v>
      </c>
    </row>
    <row r="48" spans="2:4">
      <c r="B48" s="4">
        <v>29</v>
      </c>
      <c r="C48" s="155" t="e">
        <f>IF(INSTRUCTIONS!$Q$7="Basic",_xlfn.XLOOKUP(B48,'Basic Teacher Analysis'!$Q$5:$Q$35,'Basic Teacher Analysis'!$R$5:$R$35),_xlfn.XLOOKUP(B48,'Advanced Teacher Analysis'!$C$6:$C$36,'Advanced Teacher Analysis'!$E$6:$E$36))</f>
        <v>#DIV/0!</v>
      </c>
      <c r="D48" s="387" t="e">
        <f>IF(INSTRUCTIONS!$Q$7="Basic",_xlfn.XLOOKUP(B48,'Basic Teacher Analysis'!$Q$5:$Q$35,'Basic Teacher Analysis'!$S$5:$S$35),_xlfn.XLOOKUP(B48,'Advanced Teacher Analysis'!$C$97:$C$127, 'Advanced Teacher Analysis'!$E$97:$E$127))</f>
        <v>#DIV/0!</v>
      </c>
    </row>
    <row r="49" spans="2:8" ht="15" thickBot="1">
      <c r="B49" s="109">
        <v>30</v>
      </c>
      <c r="C49" s="388" t="e">
        <f>IF(INSTRUCTIONS!$Q$7="Basic",_xlfn.XLOOKUP(B49,'Basic Teacher Analysis'!$Q$5:$Q$35,'Basic Teacher Analysis'!$R$5:$R$35),_xlfn.XLOOKUP(B49,'Advanced Teacher Analysis'!$C$6:$C$36,'Advanced Teacher Analysis'!$E$6:$E$36))</f>
        <v>#DIV/0!</v>
      </c>
      <c r="D49" s="388" t="e">
        <f>IF(INSTRUCTIONS!$Q$7="Basic",_xlfn.XLOOKUP(B49,'Basic Teacher Analysis'!$Q$5:$Q$35,'Basic Teacher Analysis'!$S$5:$S$35),_xlfn.XLOOKUP(B49,'Advanced Teacher Analysis'!$C$97:$C$127, 'Advanced Teacher Analysis'!$E$97:$E$127))</f>
        <v>#DIV/0!</v>
      </c>
    </row>
    <row r="50" spans="2:8" ht="15" thickBot="1"/>
    <row r="51" spans="2:8" ht="15" thickBot="1">
      <c r="B51" s="1465" t="s">
        <v>572</v>
      </c>
      <c r="C51" s="1466"/>
      <c r="D51" s="1466"/>
      <c r="E51" s="1467"/>
    </row>
    <row r="52" spans="2:8" ht="15" thickBot="1">
      <c r="B52" s="152"/>
      <c r="C52" s="509" t="s">
        <v>85</v>
      </c>
      <c r="D52" s="510" t="s">
        <v>578</v>
      </c>
      <c r="E52" s="125" t="s">
        <v>440</v>
      </c>
    </row>
    <row r="53" spans="2:8">
      <c r="B53" s="409" t="s">
        <v>270</v>
      </c>
      <c r="C53" s="520" t="e">
        <f>IF(INSTRUCTIONS!$Q$7="Basic", 'Basic Teacher Analysis'!AP6, 'Advanced Teacher Analysis'!V6)</f>
        <v>#DIV/0!</v>
      </c>
      <c r="D53" s="478" t="e">
        <f>IF(INSTRUCTIONS!$Q$7="Basic", 'Basic Teacher Analysis'!AP5, 'Advanced Teacher Analysis'!V5)</f>
        <v>#DIV/0!</v>
      </c>
      <c r="E53" s="387" t="e">
        <f>D53-C53</f>
        <v>#DIV/0!</v>
      </c>
    </row>
    <row r="54" spans="2:8">
      <c r="B54" s="390" t="s">
        <v>170</v>
      </c>
      <c r="C54" s="521" t="e">
        <f>IF(INSTRUCTIONS!$Q$7="Basic", 'Basic Teacher Analysis'!AQ6, 'Advanced Teacher Analysis'!W6)</f>
        <v>#DIV/0!</v>
      </c>
      <c r="D54" s="391" t="e">
        <f>IF(INSTRUCTIONS!$Q$7="Basic", 'Basic Teacher Analysis'!AQ5, 'Advanced Teacher Analysis'!W5)</f>
        <v>#DIV/0!</v>
      </c>
      <c r="E54" s="387" t="e">
        <f t="shared" ref="E54:E58" si="7">D54-C54</f>
        <v>#DIV/0!</v>
      </c>
    </row>
    <row r="55" spans="2:8">
      <c r="B55" s="390" t="s">
        <v>171</v>
      </c>
      <c r="C55" s="521" t="e">
        <f>IF(INSTRUCTIONS!$Q$7="Basic", 'Basic Teacher Analysis'!AR6, 'Advanced Teacher Analysis'!X6)</f>
        <v>#DIV/0!</v>
      </c>
      <c r="D55" s="391" t="e">
        <f>IF(INSTRUCTIONS!$Q$7="Basic", 'Basic Teacher Analysis'!AR5, 'Advanced Teacher Analysis'!X5)</f>
        <v>#DIV/0!</v>
      </c>
      <c r="E55" s="387" t="e">
        <f t="shared" si="7"/>
        <v>#DIV/0!</v>
      </c>
    </row>
    <row r="56" spans="2:8">
      <c r="B56" s="390" t="s">
        <v>172</v>
      </c>
      <c r="C56" s="521" t="e">
        <f>IF(INSTRUCTIONS!$Q$7="Basic", 'Basic Teacher Analysis'!AS6, 'Advanced Teacher Analysis'!Y6)</f>
        <v>#DIV/0!</v>
      </c>
      <c r="D56" s="391" t="e">
        <f>IF(INSTRUCTIONS!$Q$7="Basic", 'Basic Teacher Analysis'!AS5, 'Advanced Teacher Analysis'!Y5)</f>
        <v>#DIV/0!</v>
      </c>
      <c r="E56" s="387" t="e">
        <f t="shared" si="7"/>
        <v>#DIV/0!</v>
      </c>
    </row>
    <row r="57" spans="2:8" ht="36.6" customHeight="1">
      <c r="B57" s="390" t="s">
        <v>173</v>
      </c>
      <c r="C57" s="521" t="e">
        <f>IF(INSTRUCTIONS!$Q$7="Basic", 'Basic Teacher Analysis'!AT6, 'Advanced Teacher Analysis'!Z6)</f>
        <v>#DIV/0!</v>
      </c>
      <c r="D57" s="391" t="e">
        <f>IF(INSTRUCTIONS!$Q$7="Basic", 'Basic Teacher Analysis'!AT5, 'Advanced Teacher Analysis'!Z5)</f>
        <v>#DIV/0!</v>
      </c>
      <c r="E57" s="387" t="e">
        <f t="shared" si="7"/>
        <v>#DIV/0!</v>
      </c>
    </row>
    <row r="58" spans="2:8" ht="15" thickBot="1">
      <c r="B58" s="363" t="s">
        <v>174</v>
      </c>
      <c r="C58" s="522" t="e">
        <f>IF(INSTRUCTIONS!$Q$7="Basic", 'Basic Teacher Analysis'!AU6, 'Advanced Teacher Analysis'!AA6)</f>
        <v>#DIV/0!</v>
      </c>
      <c r="D58" s="92" t="e">
        <f>IF(INSTRUCTIONS!$Q$7="Basic", 'Basic Teacher Analysis'!AU5, 'Advanced Teacher Analysis'!AA5)</f>
        <v>#DIV/0!</v>
      </c>
      <c r="E58" s="388" t="e">
        <f t="shared" si="7"/>
        <v>#DIV/0!</v>
      </c>
    </row>
    <row r="59" spans="2:8" ht="15" thickBot="1">
      <c r="B59" s="285"/>
      <c r="C59" s="523"/>
      <c r="D59" s="529" t="s">
        <v>575</v>
      </c>
      <c r="E59" s="530" t="e">
        <f>SUM(E53:E58)</f>
        <v>#DIV/0!</v>
      </c>
    </row>
    <row r="60" spans="2:8" ht="15" thickBot="1">
      <c r="B60" s="285"/>
      <c r="C60" s="523"/>
      <c r="D60" s="112"/>
      <c r="E60" s="98"/>
    </row>
    <row r="61" spans="2:8" ht="15" thickBot="1">
      <c r="E61" s="1465" t="s">
        <v>576</v>
      </c>
      <c r="F61" s="1467"/>
      <c r="G61" s="285"/>
      <c r="H61" s="285"/>
    </row>
    <row r="62" spans="2:8" ht="29.45" thickBot="1">
      <c r="B62" s="262" t="s">
        <v>579</v>
      </c>
      <c r="C62" s="217" t="s">
        <v>580</v>
      </c>
      <c r="D62" s="124" t="s">
        <v>581</v>
      </c>
      <c r="E62" s="531" t="s">
        <v>582</v>
      </c>
      <c r="F62" s="223" t="s">
        <v>583</v>
      </c>
      <c r="G62" s="286"/>
      <c r="H62" s="286"/>
    </row>
    <row r="63" spans="2:8">
      <c r="B63" s="10" t="str">
        <f>IF(INSTRUCTIONS!$Q$7="Basic", IF('Basic - Teachers'!J44="", "", 'Basic - Teachers'!J44), IF('Advanced - Teachers'!J68="", "", 'Advanced - Teachers'!J68))</f>
        <v/>
      </c>
      <c r="C63" s="507" t="e">
        <f>IF(INSTRUCTIONS!$Q$7="Basic", C29, C29)</f>
        <v>#DIV/0!</v>
      </c>
      <c r="D63" s="479" t="e">
        <f>IF(INSTRUCTIONS!$Q$7="Basic", D29, D29)</f>
        <v>#DIV/0!</v>
      </c>
      <c r="E63" s="507" t="e">
        <f>IF(C63&gt;0, C63, NA())</f>
        <v>#DIV/0!</v>
      </c>
      <c r="F63" s="479" t="e">
        <f>IF(D63&gt;0, D63, NA())</f>
        <v>#DIV/0!</v>
      </c>
      <c r="G63" s="73"/>
      <c r="H63" s="73"/>
    </row>
    <row r="64" spans="2:8">
      <c r="B64" s="100" t="str">
        <f>IF(INSTRUCTIONS!$Q$7="Basic", IF('Basic - Teachers'!J45="", "", 'Basic - Teachers'!J45), IF('Advanced - Teachers'!J69="", "", 'Advanced - Teachers'!J69))</f>
        <v/>
      </c>
      <c r="C64" s="73" t="str">
        <f>IF(INSTRUCTIONS!$Q$7="Basic",IF('Basic - Teachers'!L45&lt;&gt;"",$C$29+'Basic - Teachers'!L45,""),IF('Advanced - Teachers'!J69&lt;&gt;"",$C$29+'Advanced - Teachers'!L69,""))</f>
        <v/>
      </c>
      <c r="D64" s="428" t="str">
        <f>IF(INSTRUCTIONS!$Q$7="Basic", IF('Basic - Teachers'!M45&lt;&gt;"",  $D$29+'Basic - Teachers'!M45, ""), IF('Advanced - Teachers'!J69&lt;&gt;"", $D$29+'Advanced - Teachers'!M69, ""))</f>
        <v/>
      </c>
      <c r="E64" s="73" t="str">
        <f t="shared" ref="E64:E72" si="8">IF(C64&gt;0, C64, NA())</f>
        <v/>
      </c>
      <c r="F64" s="428" t="str">
        <f t="shared" ref="F64:F72" si="9">IF(D64&gt;0, D64, NA())</f>
        <v/>
      </c>
      <c r="G64" s="73"/>
      <c r="H64" s="73"/>
    </row>
    <row r="65" spans="2:8">
      <c r="B65" s="100" t="str">
        <f>IF(INSTRUCTIONS!$Q$7="Basic", IF('Basic - Teachers'!J46="", "", 'Basic - Teachers'!J46), IF('Advanced - Teachers'!J70="", "", 'Advanced - Teachers'!J70))</f>
        <v/>
      </c>
      <c r="C65" s="73" t="str">
        <f>IF(INSTRUCTIONS!$Q$7="Basic",IF('Basic - Teachers'!L46&lt;&gt;"",$C$29+'Basic - Teachers'!L46,""),IF('Advanced - Teachers'!J70&lt;&gt;"",$C$29+'Advanced - Teachers'!L70,""))</f>
        <v/>
      </c>
      <c r="D65" s="428" t="str">
        <f>IF(INSTRUCTIONS!$Q$7="Basic", IF('Basic - Teachers'!M46&lt;&gt;"",  $D$29+'Basic - Teachers'!M46, ""), IF('Advanced - Teachers'!J70&lt;&gt;"", $D$29+'Advanced - Teachers'!M70, ""))</f>
        <v/>
      </c>
      <c r="E65" s="73" t="str">
        <f t="shared" si="8"/>
        <v/>
      </c>
      <c r="F65" s="428" t="str">
        <f t="shared" si="9"/>
        <v/>
      </c>
      <c r="G65" s="73"/>
      <c r="H65" s="73"/>
    </row>
    <row r="66" spans="2:8">
      <c r="B66" s="100" t="str">
        <f>IF(INSTRUCTIONS!$Q$7="Basic", IF('Basic - Teachers'!J47="", "", 'Basic - Teachers'!J47), IF('Advanced - Teachers'!J71="", "", 'Advanced - Teachers'!J71))</f>
        <v/>
      </c>
      <c r="C66" s="73" t="str">
        <f>IF(INSTRUCTIONS!$Q$7="Basic",IF('Basic - Teachers'!L47&lt;&gt;"",$C$29+'Basic - Teachers'!L47,""),IF('Advanced - Teachers'!J71&lt;&gt;"",$C$29+'Advanced - Teachers'!L71,""))</f>
        <v/>
      </c>
      <c r="D66" s="428" t="str">
        <f>IF(INSTRUCTIONS!$Q$7="Basic", IF('Basic - Teachers'!M47&lt;&gt;"",  $D$29+'Basic - Teachers'!M47, ""), IF('Advanced - Teachers'!J71&lt;&gt;"", $D$29+'Advanced - Teachers'!M71, ""))</f>
        <v/>
      </c>
      <c r="E66" s="73" t="str">
        <f t="shared" si="8"/>
        <v/>
      </c>
      <c r="F66" s="428" t="str">
        <f t="shared" si="9"/>
        <v/>
      </c>
      <c r="G66" s="73"/>
      <c r="H66" s="73"/>
    </row>
    <row r="67" spans="2:8">
      <c r="B67" s="100" t="str">
        <f>IF(INSTRUCTIONS!$Q$7="Basic", IF('Basic - Teachers'!J48="", "", 'Basic - Teachers'!J48), IF('Advanced - Teachers'!J72="", "", 'Advanced - Teachers'!J72))</f>
        <v/>
      </c>
      <c r="C67" s="73" t="str">
        <f>IF(INSTRUCTIONS!$Q$7="Basic",IF('Basic - Teachers'!L48&lt;&gt;"",$C$29+'Basic - Teachers'!L48,""),IF('Advanced - Teachers'!J72&lt;&gt;"",$C$29+'Advanced - Teachers'!L72,""))</f>
        <v/>
      </c>
      <c r="D67" s="428" t="str">
        <f>IF(INSTRUCTIONS!$Q$7="Basic", IF('Basic - Teachers'!M48&lt;&gt;"",  $D$29+'Basic - Teachers'!M48, ""), IF('Advanced - Teachers'!J72&lt;&gt;"", $D$29+'Advanced - Teachers'!M72, ""))</f>
        <v/>
      </c>
      <c r="E67" s="73" t="str">
        <f t="shared" si="8"/>
        <v/>
      </c>
      <c r="F67" s="428" t="str">
        <f t="shared" si="9"/>
        <v/>
      </c>
      <c r="G67" s="73"/>
      <c r="H67" s="73"/>
    </row>
    <row r="68" spans="2:8">
      <c r="B68" s="100" t="str">
        <f>IF(INSTRUCTIONS!$Q$7="Basic", IF('Basic - Teachers'!J49="", "", 'Basic - Teachers'!J49), IF('Advanced - Teachers'!J73="", "", 'Advanced - Teachers'!J73))</f>
        <v/>
      </c>
      <c r="C68" s="73" t="str">
        <f>IF(INSTRUCTIONS!$Q$7="Basic",IF('Basic - Teachers'!L49&lt;&gt;"",$C$29+'Basic - Teachers'!L49,""),IF('Advanced - Teachers'!J73&lt;&gt;"",$C$29+'Advanced - Teachers'!L73,""))</f>
        <v/>
      </c>
      <c r="D68" s="428" t="str">
        <f>IF(INSTRUCTIONS!$Q$7="Basic", IF('Basic - Teachers'!M49&lt;&gt;"",  $D$29+'Basic - Teachers'!M49, ""), IF('Advanced - Teachers'!J73&lt;&gt;"", $D$29+'Advanced - Teachers'!M73, ""))</f>
        <v/>
      </c>
      <c r="E68" s="73" t="str">
        <f t="shared" si="8"/>
        <v/>
      </c>
      <c r="F68" s="428" t="str">
        <f t="shared" si="9"/>
        <v/>
      </c>
      <c r="G68" s="73"/>
      <c r="H68" s="73"/>
    </row>
    <row r="69" spans="2:8">
      <c r="B69" s="100" t="str">
        <f>IF(INSTRUCTIONS!$Q$7="Basic", IF('Basic - Teachers'!J50="", "", 'Basic - Teachers'!J50), IF('Advanced - Teachers'!J74="", "", 'Advanced - Teachers'!J74))</f>
        <v/>
      </c>
      <c r="C69" s="73" t="str">
        <f>IF(INSTRUCTIONS!$Q$7="Basic",IF('Basic - Teachers'!L50&lt;&gt;"",$C$29+'Basic - Teachers'!L50,""),IF('Advanced - Teachers'!J74&lt;&gt;"",$C$29+'Advanced - Teachers'!L74,""))</f>
        <v/>
      </c>
      <c r="D69" s="428" t="str">
        <f>IF(INSTRUCTIONS!$Q$7="Basic", IF('Basic - Teachers'!M50&lt;&gt;"",  $D$29+'Basic - Teachers'!M50, ""), IF('Advanced - Teachers'!J74&lt;&gt;"", $D$29+'Advanced - Teachers'!M74, ""))</f>
        <v/>
      </c>
      <c r="E69" s="73" t="str">
        <f t="shared" si="8"/>
        <v/>
      </c>
      <c r="F69" s="428" t="str">
        <f t="shared" si="9"/>
        <v/>
      </c>
      <c r="G69" s="73"/>
      <c r="H69" s="73"/>
    </row>
    <row r="70" spans="2:8">
      <c r="B70" s="100" t="str">
        <f>IF(INSTRUCTIONS!$Q$7="Basic", IF('Basic - Teachers'!J51="", "", 'Basic - Teachers'!J51), IF('Advanced - Teachers'!J75="", "", 'Advanced - Teachers'!J75))</f>
        <v/>
      </c>
      <c r="C70" s="73" t="str">
        <f>IF(INSTRUCTIONS!$Q$7="Basic",IF('Basic - Teachers'!L51&lt;&gt;"",$C$29+'Basic - Teachers'!L51,""),IF('Advanced - Teachers'!J75&lt;&gt;"",$C$29+'Advanced - Teachers'!L75,""))</f>
        <v/>
      </c>
      <c r="D70" s="428" t="str">
        <f>IF(INSTRUCTIONS!$Q$7="Basic", IF('Basic - Teachers'!M51&lt;&gt;"",  $D$29+'Basic - Teachers'!M51, ""), IF('Advanced - Teachers'!J75&lt;&gt;"", $D$29+'Advanced - Teachers'!M75, ""))</f>
        <v/>
      </c>
      <c r="E70" s="73" t="str">
        <f t="shared" si="8"/>
        <v/>
      </c>
      <c r="F70" s="428" t="str">
        <f t="shared" si="9"/>
        <v/>
      </c>
      <c r="G70" s="73"/>
      <c r="H70" s="73"/>
    </row>
    <row r="71" spans="2:8">
      <c r="B71" s="100" t="str">
        <f>IF(INSTRUCTIONS!$Q$7="Basic", IF('Basic - Teachers'!J52="", "", 'Basic - Teachers'!J52), IF('Advanced - Teachers'!J76="", "", 'Advanced - Teachers'!J76))</f>
        <v/>
      </c>
      <c r="C71" s="73" t="str">
        <f>IF(INSTRUCTIONS!$Q$7="Basic",IF('Basic - Teachers'!L52&lt;&gt;"",$C$29+'Basic - Teachers'!L52,""),IF('Advanced - Teachers'!J76&lt;&gt;"",$C$29+'Advanced - Teachers'!L76,""))</f>
        <v/>
      </c>
      <c r="D71" s="428" t="str">
        <f>IF(INSTRUCTIONS!$Q$7="Basic", IF('Basic - Teachers'!M52&lt;&gt;"",  $D$29+'Basic - Teachers'!M52, ""), IF('Advanced - Teachers'!J76&lt;&gt;"", $D$29+'Advanced - Teachers'!M76, ""))</f>
        <v/>
      </c>
      <c r="E71" s="73" t="str">
        <f t="shared" si="8"/>
        <v/>
      </c>
      <c r="F71" s="428" t="str">
        <f t="shared" si="9"/>
        <v/>
      </c>
      <c r="G71" s="73"/>
      <c r="H71" s="73"/>
    </row>
    <row r="72" spans="2:8" ht="15" thickBot="1">
      <c r="B72" s="11" t="str">
        <f>IF(INSTRUCTIONS!$Q$7="Basic", IF('Basic - Teachers'!J53="", "", 'Basic - Teachers'!J53), IF('Advanced - Teachers'!J77="", "", 'Advanced - Teachers'!J77))</f>
        <v/>
      </c>
      <c r="C72" s="508" t="str">
        <f>IF(INSTRUCTIONS!$Q$7="Basic",IF('Basic - Teachers'!L53&lt;&gt;"",$C$29+'Basic - Teachers'!L53,""),IF('Advanced - Teachers'!J77&lt;&gt;"",$C$29+'Advanced - Teachers'!L77,""))</f>
        <v/>
      </c>
      <c r="D72" s="480" t="str">
        <f>IF(INSTRUCTIONS!$Q$7="Basic", IF('Basic - Teachers'!M53&lt;&gt;"",  $D$29+'Basic - Teachers'!M53, ""), IF('Advanced - Teachers'!J77&lt;&gt;"", $D$29+'Advanced - Teachers'!M77, ""))</f>
        <v/>
      </c>
      <c r="E72" s="508" t="str">
        <f t="shared" si="8"/>
        <v/>
      </c>
      <c r="F72" s="480" t="str">
        <f t="shared" si="9"/>
        <v/>
      </c>
      <c r="G72" s="73"/>
      <c r="H72" s="73"/>
    </row>
    <row r="73" spans="2:8" ht="15" thickBot="1">
      <c r="B73" s="285"/>
      <c r="E73" s="73"/>
      <c r="F73" s="73"/>
      <c r="G73" s="73"/>
      <c r="H73" s="73"/>
    </row>
    <row r="74" spans="2:8">
      <c r="B74" s="409"/>
      <c r="C74" s="225" t="s">
        <v>293</v>
      </c>
      <c r="D74" s="346" t="s">
        <v>294</v>
      </c>
      <c r="E74" s="73"/>
      <c r="F74" s="73"/>
      <c r="G74" s="73"/>
      <c r="H74" s="73"/>
    </row>
    <row r="75" spans="2:8">
      <c r="B75" s="390">
        <f>IF(INSTRUCTIONS!$Q$7="Basic", 'Basic - Teachers'!J44, 'Advanced - Teachers'!J68)</f>
        <v>0</v>
      </c>
      <c r="C75" s="155">
        <f>IF(INSTRUCTIONS!$Q$7="Basic", 'Basic - Teachers'!L44, 'Advanced - Teachers'!L68)</f>
        <v>0</v>
      </c>
      <c r="D75" s="105">
        <f>IF(INSTRUCTIONS!$Q$7="Basic", 'Basic - Teachers'!M44, 'Advanced - Teachers'!M68)</f>
        <v>0</v>
      </c>
      <c r="E75" s="73"/>
      <c r="F75" s="73"/>
      <c r="G75" s="73"/>
      <c r="H75" s="73"/>
    </row>
    <row r="76" spans="2:8">
      <c r="B76" s="390">
        <f>IF(INSTRUCTIONS!$Q$7="Basic", 'Basic - Teachers'!J45, 'Advanced - Teachers'!J69)</f>
        <v>0</v>
      </c>
      <c r="C76" s="155">
        <f>IF(INSTRUCTIONS!$Q$7="Basic", 'Basic - Teachers'!L45, 'Advanced - Teachers'!L69)</f>
        <v>0</v>
      </c>
      <c r="D76" s="105">
        <f>IF(INSTRUCTIONS!$Q$7="Basic", 'Basic - Teachers'!M45, 'Advanced - Teachers'!M69)</f>
        <v>0</v>
      </c>
      <c r="E76" s="73"/>
      <c r="F76" s="73"/>
      <c r="G76" s="73"/>
      <c r="H76" s="73"/>
    </row>
    <row r="77" spans="2:8">
      <c r="B77" s="390">
        <f>IF(INSTRUCTIONS!$Q$7="Basic", 'Basic - Teachers'!J46, 'Advanced - Teachers'!J70)</f>
        <v>0</v>
      </c>
      <c r="C77" s="155">
        <f>IF(INSTRUCTIONS!$Q$7="Basic", 'Basic - Teachers'!L46, 'Advanced - Teachers'!L70)</f>
        <v>0</v>
      </c>
      <c r="D77" s="105">
        <f>IF(INSTRUCTIONS!$Q$7="Basic", 'Basic - Teachers'!M46, 'Advanced - Teachers'!M70)</f>
        <v>0</v>
      </c>
      <c r="E77" s="73"/>
      <c r="F77" s="73"/>
      <c r="G77" s="73"/>
      <c r="H77" s="73"/>
    </row>
    <row r="78" spans="2:8">
      <c r="B78" s="390">
        <f>IF(INSTRUCTIONS!$Q$7="Basic", 'Basic - Teachers'!J47, 'Advanced - Teachers'!J71)</f>
        <v>0</v>
      </c>
      <c r="C78" s="155">
        <f>IF(INSTRUCTIONS!$Q$7="Basic", 'Basic - Teachers'!L47, 'Advanced - Teachers'!L71)</f>
        <v>0</v>
      </c>
      <c r="D78" s="105">
        <f>IF(INSTRUCTIONS!$Q$7="Basic", 'Basic - Teachers'!M47, 'Advanced - Teachers'!M71)</f>
        <v>0</v>
      </c>
      <c r="E78" s="73"/>
      <c r="F78" s="73"/>
      <c r="G78" s="73"/>
      <c r="H78" s="73"/>
    </row>
    <row r="79" spans="2:8">
      <c r="B79" s="390">
        <f>IF(INSTRUCTIONS!$Q$7="Basic", 'Basic - Teachers'!J48, 'Advanced - Teachers'!J72)</f>
        <v>0</v>
      </c>
      <c r="C79" s="155">
        <f>IF(INSTRUCTIONS!$Q$7="Basic", 'Basic - Teachers'!L48, 'Advanced - Teachers'!L72)</f>
        <v>0</v>
      </c>
      <c r="D79" s="105">
        <f>IF(INSTRUCTIONS!$Q$7="Basic", 'Basic - Teachers'!M48, 'Advanced - Teachers'!M72)</f>
        <v>0</v>
      </c>
      <c r="F79" s="73"/>
      <c r="G79" s="73"/>
      <c r="H79" s="73"/>
    </row>
    <row r="80" spans="2:8">
      <c r="B80" s="390">
        <f>IF(INSTRUCTIONS!$Q$7="Basic", 'Basic - Teachers'!J49, 'Advanced - Teachers'!J73)</f>
        <v>0</v>
      </c>
      <c r="C80" s="155">
        <f>IF(INSTRUCTIONS!$Q$7="Basic", 'Basic - Teachers'!L49, 'Advanced - Teachers'!L73)</f>
        <v>0</v>
      </c>
      <c r="D80" s="105">
        <f>IF(INSTRUCTIONS!$Q$7="Basic", 'Basic - Teachers'!M49, 'Advanced - Teachers'!M73)</f>
        <v>0</v>
      </c>
      <c r="E80" s="73"/>
      <c r="F80" s="73"/>
      <c r="G80" s="73"/>
      <c r="H80" s="73"/>
    </row>
    <row r="81" spans="2:8">
      <c r="B81" s="390">
        <f>IF(INSTRUCTIONS!$Q$7="Basic", 'Basic - Teachers'!J50, 'Advanced - Teachers'!J74)</f>
        <v>0</v>
      </c>
      <c r="C81" s="155">
        <f>IF(INSTRUCTIONS!$Q$7="Basic", 'Basic - Teachers'!L50, 'Advanced - Teachers'!L74)</f>
        <v>0</v>
      </c>
      <c r="D81" s="105">
        <f>IF(INSTRUCTIONS!$Q$7="Basic", 'Basic - Teachers'!M50, 'Advanced - Teachers'!M74)</f>
        <v>0</v>
      </c>
      <c r="E81" s="73"/>
      <c r="F81" s="73"/>
      <c r="G81" s="73"/>
      <c r="H81" s="73"/>
    </row>
    <row r="82" spans="2:8">
      <c r="B82" s="390">
        <f>IF(INSTRUCTIONS!$Q$7="Basic", 'Basic - Teachers'!J51, 'Advanced - Teachers'!J75)</f>
        <v>0</v>
      </c>
      <c r="C82" s="155">
        <f>IF(INSTRUCTIONS!$Q$7="Basic", 'Basic - Teachers'!L51, 'Advanced - Teachers'!L75)</f>
        <v>0</v>
      </c>
      <c r="D82" s="105">
        <f>IF(INSTRUCTIONS!$Q$7="Basic", 'Basic - Teachers'!M51, 'Advanced - Teachers'!M75)</f>
        <v>0</v>
      </c>
      <c r="E82" s="73"/>
      <c r="F82" s="73"/>
      <c r="G82" s="73"/>
      <c r="H82" s="73"/>
    </row>
    <row r="83" spans="2:8">
      <c r="B83" s="390">
        <f>IF(INSTRUCTIONS!$Q$7="Basic", 'Basic - Teachers'!J52, 'Advanced - Teachers'!J76)</f>
        <v>0</v>
      </c>
      <c r="C83" s="155">
        <f>IF(INSTRUCTIONS!$Q$7="Basic", 'Basic - Teachers'!L52, 'Advanced - Teachers'!L76)</f>
        <v>0</v>
      </c>
      <c r="D83" s="105">
        <f>IF(INSTRUCTIONS!$Q$7="Basic", 'Basic - Teachers'!M52, 'Advanced - Teachers'!M76)</f>
        <v>0</v>
      </c>
      <c r="E83" s="73"/>
      <c r="F83" s="73"/>
      <c r="G83" s="73"/>
      <c r="H83" s="73"/>
    </row>
    <row r="84" spans="2:8" ht="15" thickBot="1">
      <c r="B84" s="363">
        <f>IF(INSTRUCTIONS!$Q$7="Basic", 'Basic - Teachers'!J53, 'Advanced - Teachers'!J77)</f>
        <v>0</v>
      </c>
      <c r="C84" s="80">
        <f>IF(INSTRUCTIONS!$Q$7="Basic", 'Basic - Teachers'!L53, 'Advanced - Teachers'!L77)</f>
        <v>0</v>
      </c>
      <c r="D84" s="82">
        <f>IF(INSTRUCTIONS!$Q$7="Basic", 'Basic - Teachers'!M53, 'Advanced - Teachers'!M77)</f>
        <v>0</v>
      </c>
      <c r="E84" s="73"/>
      <c r="F84" s="73"/>
      <c r="G84" s="73"/>
      <c r="H84" s="73"/>
    </row>
    <row r="85" spans="2:8">
      <c r="B85" s="285"/>
      <c r="E85" s="73"/>
      <c r="F85" s="73"/>
      <c r="G85" s="73"/>
      <c r="H85" s="73"/>
    </row>
    <row r="86" spans="2:8" ht="15" thickBot="1"/>
    <row r="87" spans="2:8" ht="15" thickBot="1">
      <c r="B87" s="1465" t="s">
        <v>264</v>
      </c>
      <c r="C87" s="1466"/>
      <c r="D87" s="1467"/>
      <c r="E87" s="1465" t="s">
        <v>584</v>
      </c>
      <c r="F87" s="1467"/>
      <c r="G87" s="1465" t="s">
        <v>585</v>
      </c>
      <c r="H87" s="1467"/>
    </row>
    <row r="88" spans="2:8" ht="15" thickBot="1">
      <c r="B88" s="125" t="s">
        <v>269</v>
      </c>
      <c r="C88" s="124" t="s">
        <v>85</v>
      </c>
      <c r="D88" s="386" t="s">
        <v>86</v>
      </c>
      <c r="E88" s="125" t="s">
        <v>586</v>
      </c>
      <c r="F88" s="217" t="s">
        <v>587</v>
      </c>
      <c r="G88" s="222" t="s">
        <v>586</v>
      </c>
      <c r="H88" s="159" t="s">
        <v>587</v>
      </c>
    </row>
    <row r="89" spans="2:8">
      <c r="B89" s="108">
        <v>0</v>
      </c>
      <c r="C89" s="155">
        <f>IF(INSTRUCTIONS!$Q$7="Basic",_xlfn.XLOOKUP(B89,'Basic Teacher Analysis'!$Q$5:$Q$35,'Basic Teacher Analysis'!$R$5:$R$35),_xlfn.XLOOKUP(B89,'Advanced Teacher Analysis'!$C$6:$C$36,'Advanced Teacher Analysis'!$E$6:$E$36))</f>
        <v>0</v>
      </c>
      <c r="D89" s="67">
        <f>IF(INSTRUCTIONS!$Q$7="Basic",_xlfn.XLOOKUP(B89,'Basic Teacher Analysis'!$Q$5:$Q$35,'Basic Teacher Analysis'!$S$5:$S$35),_xlfn.XLOOKUP(B89,'Advanced Teacher Analysis'!$C$97:$C$127, 'Advanced Teacher Analysis'!$E$97:$E$127))</f>
        <v>0</v>
      </c>
      <c r="E89" s="532">
        <f>D75</f>
        <v>0</v>
      </c>
      <c r="F89" s="533">
        <f>SUM(D89:E89)</f>
        <v>0</v>
      </c>
      <c r="G89" s="536">
        <f>D75</f>
        <v>0</v>
      </c>
      <c r="H89" s="533">
        <f>D89+G89</f>
        <v>0</v>
      </c>
    </row>
    <row r="90" spans="2:8">
      <c r="B90" s="4">
        <v>1</v>
      </c>
      <c r="C90" s="155" t="e">
        <f>IF(INSTRUCTIONS!$Q$7="Basic",_xlfn.XLOOKUP(B90,'Basic Teacher Analysis'!$Q$5:$Q$35,'Basic Teacher Analysis'!$R$5:$R$35),_xlfn.XLOOKUP(B90,'Advanced Teacher Analysis'!$C$6:$C$36,'Advanced Teacher Analysis'!$E$6:$E$36))</f>
        <v>#DIV/0!</v>
      </c>
      <c r="D90" s="387" t="e">
        <f>IF(INSTRUCTIONS!$Q$7="Basic",_xlfn.XLOOKUP(B90,'Basic Teacher Analysis'!$Q$5:$Q$35,'Basic Teacher Analysis'!$S$5:$S$35),_xlfn.XLOOKUP(B90,'Advanced Teacher Analysis'!$C$97:$C$127, 'Advanced Teacher Analysis'!$E$97:$E$127))</f>
        <v>#DIV/0!</v>
      </c>
      <c r="E90" s="534">
        <f>D75</f>
        <v>0</v>
      </c>
      <c r="F90" s="333" t="e">
        <f t="shared" ref="F90:F119" si="10">SUM(D90:E90)</f>
        <v>#DIV/0!</v>
      </c>
      <c r="G90" s="537">
        <f>D75</f>
        <v>0</v>
      </c>
      <c r="H90" s="333" t="e">
        <f t="shared" ref="H90:H119" si="11">D90+G90</f>
        <v>#DIV/0!</v>
      </c>
    </row>
    <row r="91" spans="2:8">
      <c r="B91" s="4">
        <v>2</v>
      </c>
      <c r="C91" s="155" t="e">
        <f>IF(INSTRUCTIONS!$Q$7="Basic",_xlfn.XLOOKUP(B91,'Basic Teacher Analysis'!$Q$5:$Q$35,'Basic Teacher Analysis'!$R$5:$R$35),_xlfn.XLOOKUP(B91,'Advanced Teacher Analysis'!$C$6:$C$36,'Advanced Teacher Analysis'!$E$6:$E$36))</f>
        <v>#DIV/0!</v>
      </c>
      <c r="D91" s="387" t="e">
        <f>IF(INSTRUCTIONS!$Q$7="Basic",_xlfn.XLOOKUP(B91,'Basic Teacher Analysis'!$Q$5:$Q$35,'Basic Teacher Analysis'!$S$5:$S$35),_xlfn.XLOOKUP(B91,'Advanced Teacher Analysis'!$C$97:$C$127, 'Advanced Teacher Analysis'!$E$97:$E$127))</f>
        <v>#DIV/0!</v>
      </c>
      <c r="E91" s="534">
        <f>D76</f>
        <v>0</v>
      </c>
      <c r="F91" s="333" t="e">
        <f t="shared" si="10"/>
        <v>#DIV/0!</v>
      </c>
      <c r="G91" s="537">
        <f>D75</f>
        <v>0</v>
      </c>
      <c r="H91" s="333" t="e">
        <f t="shared" si="11"/>
        <v>#DIV/0!</v>
      </c>
    </row>
    <row r="92" spans="2:8">
      <c r="B92" s="4">
        <v>3</v>
      </c>
      <c r="C92" s="155" t="e">
        <f>IF(INSTRUCTIONS!$Q$7="Basic",_xlfn.XLOOKUP(B92,'Basic Teacher Analysis'!$Q$5:$Q$35,'Basic Teacher Analysis'!$R$5:$R$35),_xlfn.XLOOKUP(B92,'Advanced Teacher Analysis'!$C$6:$C$36,'Advanced Teacher Analysis'!$E$6:$E$36))</f>
        <v>#DIV/0!</v>
      </c>
      <c r="D92" s="387" t="e">
        <f>IF(INSTRUCTIONS!$Q$7="Basic",_xlfn.XLOOKUP(B92,'Basic Teacher Analysis'!$Q$5:$Q$35,'Basic Teacher Analysis'!$S$5:$S$35),_xlfn.XLOOKUP(B92,'Advanced Teacher Analysis'!$C$97:$C$127, 'Advanced Teacher Analysis'!$E$97:$E$127))</f>
        <v>#DIV/0!</v>
      </c>
      <c r="E92" s="534">
        <f>D76</f>
        <v>0</v>
      </c>
      <c r="F92" s="333" t="e">
        <f t="shared" si="10"/>
        <v>#DIV/0!</v>
      </c>
      <c r="G92" s="537">
        <f>D76</f>
        <v>0</v>
      </c>
      <c r="H92" s="333" t="e">
        <f t="shared" si="11"/>
        <v>#DIV/0!</v>
      </c>
    </row>
    <row r="93" spans="2:8">
      <c r="B93" s="4">
        <v>4</v>
      </c>
      <c r="C93" s="155" t="e">
        <f>IF(INSTRUCTIONS!$Q$7="Basic",_xlfn.XLOOKUP(B93,'Basic Teacher Analysis'!$Q$5:$Q$35,'Basic Teacher Analysis'!$R$5:$R$35),_xlfn.XLOOKUP(B93,'Advanced Teacher Analysis'!$C$6:$C$36,'Advanced Teacher Analysis'!$E$6:$E$36))</f>
        <v>#DIV/0!</v>
      </c>
      <c r="D93" s="387" t="e">
        <f>IF(INSTRUCTIONS!$Q$7="Basic",_xlfn.XLOOKUP(B93,'Basic Teacher Analysis'!$Q$5:$Q$35,'Basic Teacher Analysis'!$S$5:$S$35),_xlfn.XLOOKUP(B93,'Advanced Teacher Analysis'!$C$97:$C$127, 'Advanced Teacher Analysis'!$E$97:$E$127))</f>
        <v>#DIV/0!</v>
      </c>
      <c r="E93" s="534">
        <f>D77</f>
        <v>0</v>
      </c>
      <c r="F93" s="333" t="e">
        <f t="shared" si="10"/>
        <v>#DIV/0!</v>
      </c>
      <c r="G93" s="537">
        <f>D76</f>
        <v>0</v>
      </c>
      <c r="H93" s="333" t="e">
        <f t="shared" si="11"/>
        <v>#DIV/0!</v>
      </c>
    </row>
    <row r="94" spans="2:8">
      <c r="B94" s="4">
        <v>5</v>
      </c>
      <c r="C94" s="155" t="e">
        <f>IF(INSTRUCTIONS!$Q$7="Basic",_xlfn.XLOOKUP(B94,'Basic Teacher Analysis'!$Q$5:$Q$35,'Basic Teacher Analysis'!$R$5:$R$35),_xlfn.XLOOKUP(B94,'Advanced Teacher Analysis'!$C$6:$C$36,'Advanced Teacher Analysis'!$E$6:$E$36))</f>
        <v>#DIV/0!</v>
      </c>
      <c r="D94" s="387" t="e">
        <f>IF(INSTRUCTIONS!$Q$7="Basic",_xlfn.XLOOKUP(B94,'Basic Teacher Analysis'!$Q$5:$Q$35,'Basic Teacher Analysis'!$S$5:$S$35),_xlfn.XLOOKUP(B94,'Advanced Teacher Analysis'!$C$97:$C$127, 'Advanced Teacher Analysis'!$E$97:$E$127))</f>
        <v>#DIV/0!</v>
      </c>
      <c r="E94" s="534">
        <f>D77</f>
        <v>0</v>
      </c>
      <c r="F94" s="333" t="e">
        <f t="shared" si="10"/>
        <v>#DIV/0!</v>
      </c>
      <c r="G94" s="537">
        <f>D76</f>
        <v>0</v>
      </c>
      <c r="H94" s="333" t="e">
        <f t="shared" si="11"/>
        <v>#DIV/0!</v>
      </c>
    </row>
    <row r="95" spans="2:8">
      <c r="B95" s="4">
        <v>6</v>
      </c>
      <c r="C95" s="155" t="e">
        <f>IF(INSTRUCTIONS!$Q$7="Basic",_xlfn.XLOOKUP(B95,'Basic Teacher Analysis'!$Q$5:$Q$35,'Basic Teacher Analysis'!$R$5:$R$35),_xlfn.XLOOKUP(B95,'Advanced Teacher Analysis'!$C$6:$C$36,'Advanced Teacher Analysis'!$E$6:$E$36))</f>
        <v>#DIV/0!</v>
      </c>
      <c r="D95" s="387" t="e">
        <f>IF(INSTRUCTIONS!$Q$7="Basic",_xlfn.XLOOKUP(B95,'Basic Teacher Analysis'!$Q$5:$Q$35,'Basic Teacher Analysis'!$S$5:$S$35),_xlfn.XLOOKUP(B95,'Advanced Teacher Analysis'!$C$97:$C$127, 'Advanced Teacher Analysis'!$E$97:$E$127))</f>
        <v>#DIV/0!</v>
      </c>
      <c r="E95" s="534">
        <f>D78</f>
        <v>0</v>
      </c>
      <c r="F95" s="333" t="e">
        <f t="shared" si="10"/>
        <v>#DIV/0!</v>
      </c>
      <c r="G95" s="537">
        <f>D77</f>
        <v>0</v>
      </c>
      <c r="H95" s="333" t="e">
        <f t="shared" si="11"/>
        <v>#DIV/0!</v>
      </c>
    </row>
    <row r="96" spans="2:8">
      <c r="B96" s="4">
        <v>7</v>
      </c>
      <c r="C96" s="155" t="e">
        <f>IF(INSTRUCTIONS!$Q$7="Basic",_xlfn.XLOOKUP(B96,'Basic Teacher Analysis'!$Q$5:$Q$35,'Basic Teacher Analysis'!$R$5:$R$35),_xlfn.XLOOKUP(B96,'Advanced Teacher Analysis'!$C$6:$C$36,'Advanced Teacher Analysis'!$E$6:$E$36))</f>
        <v>#DIV/0!</v>
      </c>
      <c r="D96" s="387" t="e">
        <f>IF(INSTRUCTIONS!$Q$7="Basic",_xlfn.XLOOKUP(B96,'Basic Teacher Analysis'!$Q$5:$Q$35,'Basic Teacher Analysis'!$S$5:$S$35),_xlfn.XLOOKUP(B96,'Advanced Teacher Analysis'!$C$97:$C$127, 'Advanced Teacher Analysis'!$E$97:$E$127))</f>
        <v>#DIV/0!</v>
      </c>
      <c r="E96" s="534">
        <f>D78</f>
        <v>0</v>
      </c>
      <c r="F96" s="333" t="e">
        <f t="shared" si="10"/>
        <v>#DIV/0!</v>
      </c>
      <c r="G96" s="537">
        <f>D77</f>
        <v>0</v>
      </c>
      <c r="H96" s="333" t="e">
        <f t="shared" si="11"/>
        <v>#DIV/0!</v>
      </c>
    </row>
    <row r="97" spans="2:8">
      <c r="B97" s="4">
        <v>8</v>
      </c>
      <c r="C97" s="155" t="e">
        <f>IF(INSTRUCTIONS!$Q$7="Basic",_xlfn.XLOOKUP(B97,'Basic Teacher Analysis'!$Q$5:$Q$35,'Basic Teacher Analysis'!$R$5:$R$35),_xlfn.XLOOKUP(B97,'Advanced Teacher Analysis'!$C$6:$C$36,'Advanced Teacher Analysis'!$E$6:$E$36))</f>
        <v>#DIV/0!</v>
      </c>
      <c r="D97" s="387" t="e">
        <f>IF(INSTRUCTIONS!$Q$7="Basic",_xlfn.XLOOKUP(B97,'Basic Teacher Analysis'!$Q$5:$Q$35,'Basic Teacher Analysis'!$S$5:$S$35),_xlfn.XLOOKUP(B97,'Advanced Teacher Analysis'!$C$97:$C$127, 'Advanced Teacher Analysis'!$E$97:$E$127))</f>
        <v>#DIV/0!</v>
      </c>
      <c r="E97" s="534">
        <f>D79</f>
        <v>0</v>
      </c>
      <c r="F97" s="333" t="e">
        <f t="shared" si="10"/>
        <v>#DIV/0!</v>
      </c>
      <c r="G97" s="537">
        <f>D77</f>
        <v>0</v>
      </c>
      <c r="H97" s="333" t="e">
        <f t="shared" si="11"/>
        <v>#DIV/0!</v>
      </c>
    </row>
    <row r="98" spans="2:8">
      <c r="B98" s="4">
        <v>9</v>
      </c>
      <c r="C98" s="155" t="e">
        <f>IF(INSTRUCTIONS!$Q$7="Basic",_xlfn.XLOOKUP(B98,'Basic Teacher Analysis'!$Q$5:$Q$35,'Basic Teacher Analysis'!$R$5:$R$35),_xlfn.XLOOKUP(B98,'Advanced Teacher Analysis'!$C$6:$C$36,'Advanced Teacher Analysis'!$E$6:$E$36))</f>
        <v>#DIV/0!</v>
      </c>
      <c r="D98" s="387" t="e">
        <f>IF(INSTRUCTIONS!$Q$7="Basic",_xlfn.XLOOKUP(B98,'Basic Teacher Analysis'!$Q$5:$Q$35,'Basic Teacher Analysis'!$S$5:$S$35),_xlfn.XLOOKUP(B98,'Advanced Teacher Analysis'!$C$97:$C$127, 'Advanced Teacher Analysis'!$E$97:$E$127))</f>
        <v>#DIV/0!</v>
      </c>
      <c r="E98" s="534">
        <f>D79</f>
        <v>0</v>
      </c>
      <c r="F98" s="333" t="e">
        <f t="shared" si="10"/>
        <v>#DIV/0!</v>
      </c>
      <c r="G98" s="537">
        <f>D78</f>
        <v>0</v>
      </c>
      <c r="H98" s="333" t="e">
        <f t="shared" si="11"/>
        <v>#DIV/0!</v>
      </c>
    </row>
    <row r="99" spans="2:8">
      <c r="B99" s="4">
        <v>10</v>
      </c>
      <c r="C99" s="155" t="e">
        <f>IF(INSTRUCTIONS!$Q$7="Basic",_xlfn.XLOOKUP(B99,'Basic Teacher Analysis'!$Q$5:$Q$35,'Basic Teacher Analysis'!$R$5:$R$35),_xlfn.XLOOKUP(B99,'Advanced Teacher Analysis'!$C$6:$C$36,'Advanced Teacher Analysis'!$E$6:$E$36))</f>
        <v>#DIV/0!</v>
      </c>
      <c r="D99" s="387" t="e">
        <f>IF(INSTRUCTIONS!$Q$7="Basic",_xlfn.XLOOKUP(B99,'Basic Teacher Analysis'!$Q$5:$Q$35,'Basic Teacher Analysis'!$S$5:$S$35),_xlfn.XLOOKUP(B99,'Advanced Teacher Analysis'!$C$97:$C$127, 'Advanced Teacher Analysis'!$E$97:$E$127))</f>
        <v>#DIV/0!</v>
      </c>
      <c r="E99" s="534">
        <f>IF(D80=0, E98, D80)</f>
        <v>0</v>
      </c>
      <c r="F99" s="333" t="e">
        <f t="shared" si="10"/>
        <v>#DIV/0!</v>
      </c>
      <c r="G99" s="537">
        <f>D78</f>
        <v>0</v>
      </c>
      <c r="H99" s="333" t="e">
        <f>D99+G99</f>
        <v>#DIV/0!</v>
      </c>
    </row>
    <row r="100" spans="2:8">
      <c r="B100" s="4">
        <v>11</v>
      </c>
      <c r="C100" s="155" t="e">
        <f>IF(INSTRUCTIONS!$Q$7="Basic",_xlfn.XLOOKUP(B100,'Basic Teacher Analysis'!$Q$5:$Q$35,'Basic Teacher Analysis'!$R$5:$R$35),_xlfn.XLOOKUP(B100,'Advanced Teacher Analysis'!$C$6:$C$36,'Advanced Teacher Analysis'!$E$6:$E$36))</f>
        <v>#DIV/0!</v>
      </c>
      <c r="D100" s="387" t="e">
        <f>IF(INSTRUCTIONS!$Q$7="Basic",_xlfn.XLOOKUP(B100,'Basic Teacher Analysis'!$Q$5:$Q$35,'Basic Teacher Analysis'!$S$5:$S$35),_xlfn.XLOOKUP(B100,'Advanced Teacher Analysis'!$C$97:$C$127, 'Advanced Teacher Analysis'!$E$97:$E$127))</f>
        <v>#DIV/0!</v>
      </c>
      <c r="E100" s="534">
        <f>IF(D80=0, E99, D80)</f>
        <v>0</v>
      </c>
      <c r="F100" s="333" t="e">
        <f t="shared" si="10"/>
        <v>#DIV/0!</v>
      </c>
      <c r="G100" s="537">
        <f>D78</f>
        <v>0</v>
      </c>
      <c r="H100" s="333" t="e">
        <f t="shared" si="11"/>
        <v>#DIV/0!</v>
      </c>
    </row>
    <row r="101" spans="2:8">
      <c r="B101" s="4">
        <v>12</v>
      </c>
      <c r="C101" s="155" t="e">
        <f>IF(INSTRUCTIONS!$Q$7="Basic",_xlfn.XLOOKUP(B101,'Basic Teacher Analysis'!$Q$5:$Q$35,'Basic Teacher Analysis'!$R$5:$R$35),_xlfn.XLOOKUP(B101,'Advanced Teacher Analysis'!$C$6:$C$36,'Advanced Teacher Analysis'!$E$6:$E$36))</f>
        <v>#DIV/0!</v>
      </c>
      <c r="D101" s="387" t="e">
        <f>IF(INSTRUCTIONS!$Q$7="Basic",_xlfn.XLOOKUP(B101,'Basic Teacher Analysis'!$Q$5:$Q$35,'Basic Teacher Analysis'!$S$5:$S$35),_xlfn.XLOOKUP(B101,'Advanced Teacher Analysis'!$C$97:$C$127, 'Advanced Teacher Analysis'!$E$97:$E$127))</f>
        <v>#DIV/0!</v>
      </c>
      <c r="E101" s="534">
        <f t="shared" ref="E101" si="12">IF(D83=0, E100, D83)</f>
        <v>0</v>
      </c>
      <c r="F101" s="333" t="e">
        <f t="shared" si="10"/>
        <v>#DIV/0!</v>
      </c>
      <c r="G101" s="537">
        <f>D79</f>
        <v>0</v>
      </c>
      <c r="H101" s="333" t="e">
        <f t="shared" si="11"/>
        <v>#DIV/0!</v>
      </c>
    </row>
    <row r="102" spans="2:8">
      <c r="B102" s="4">
        <v>13</v>
      </c>
      <c r="C102" s="155" t="e">
        <f>IF(INSTRUCTIONS!$Q$7="Basic",_xlfn.XLOOKUP(B102,'Basic Teacher Analysis'!$Q$5:$Q$35,'Basic Teacher Analysis'!$R$5:$R$35),_xlfn.XLOOKUP(B102,'Advanced Teacher Analysis'!$C$6:$C$36,'Advanced Teacher Analysis'!$E$6:$E$36))</f>
        <v>#DIV/0!</v>
      </c>
      <c r="D102" s="387" t="e">
        <f>IF(INSTRUCTIONS!$Q$7="Basic",_xlfn.XLOOKUP(B102,'Basic Teacher Analysis'!$Q$5:$Q$35,'Basic Teacher Analysis'!$S$5:$S$35),_xlfn.XLOOKUP(B102,'Advanced Teacher Analysis'!$C$97:$C$127, 'Advanced Teacher Analysis'!$E$97:$E$127))</f>
        <v>#DIV/0!</v>
      </c>
      <c r="E102" s="534">
        <f>IF(D81=0, E101, D81)</f>
        <v>0</v>
      </c>
      <c r="F102" s="333" t="e">
        <f t="shared" si="10"/>
        <v>#DIV/0!</v>
      </c>
      <c r="G102" s="537">
        <f>D79</f>
        <v>0</v>
      </c>
      <c r="H102" s="333" t="e">
        <f t="shared" si="11"/>
        <v>#DIV/0!</v>
      </c>
    </row>
    <row r="103" spans="2:8">
      <c r="B103" s="4">
        <v>14</v>
      </c>
      <c r="C103" s="155" t="e">
        <f>IF(INSTRUCTIONS!$Q$7="Basic",_xlfn.XLOOKUP(B103,'Basic Teacher Analysis'!$Q$5:$Q$35,'Basic Teacher Analysis'!$R$5:$R$35),_xlfn.XLOOKUP(B103,'Advanced Teacher Analysis'!$C$6:$C$36,'Advanced Teacher Analysis'!$E$6:$E$36))</f>
        <v>#DIV/0!</v>
      </c>
      <c r="D103" s="387" t="e">
        <f>IF(INSTRUCTIONS!$Q$7="Basic",_xlfn.XLOOKUP(B103,'Basic Teacher Analysis'!$Q$5:$Q$35,'Basic Teacher Analysis'!$S$5:$S$35),_xlfn.XLOOKUP(B103,'Advanced Teacher Analysis'!$C$97:$C$127, 'Advanced Teacher Analysis'!$E$97:$E$127))</f>
        <v>#DIV/0!</v>
      </c>
      <c r="E103" s="534">
        <f>IF(D81=0, E102, D81)</f>
        <v>0</v>
      </c>
      <c r="F103" s="333" t="e">
        <f t="shared" si="10"/>
        <v>#DIV/0!</v>
      </c>
      <c r="G103" s="537">
        <f>D79</f>
        <v>0</v>
      </c>
      <c r="H103" s="333" t="e">
        <f t="shared" si="11"/>
        <v>#DIV/0!</v>
      </c>
    </row>
    <row r="104" spans="2:8">
      <c r="B104" s="4">
        <v>15</v>
      </c>
      <c r="C104" s="155" t="e">
        <f>IF(INSTRUCTIONS!$Q$7="Basic",_xlfn.XLOOKUP(B104,'Basic Teacher Analysis'!$Q$5:$Q$35,'Basic Teacher Analysis'!$R$5:$R$35),_xlfn.XLOOKUP(B104,'Advanced Teacher Analysis'!$C$6:$C$36,'Advanced Teacher Analysis'!$E$6:$E$36))</f>
        <v>#DIV/0!</v>
      </c>
      <c r="D104" s="387" t="e">
        <f>IF(INSTRUCTIONS!$Q$7="Basic",_xlfn.XLOOKUP(B104,'Basic Teacher Analysis'!$Q$5:$Q$35,'Basic Teacher Analysis'!$S$5:$S$35),_xlfn.XLOOKUP(B104,'Advanced Teacher Analysis'!$C$97:$C$127, 'Advanced Teacher Analysis'!$E$97:$E$127))</f>
        <v>#DIV/0!</v>
      </c>
      <c r="E104" s="534">
        <f>IF(D82=0, E103, D82)</f>
        <v>0</v>
      </c>
      <c r="F104" s="333" t="e">
        <f t="shared" si="10"/>
        <v>#DIV/0!</v>
      </c>
      <c r="G104" s="537">
        <f>IF(D80=0, G103, D80)</f>
        <v>0</v>
      </c>
      <c r="H104" s="333" t="e">
        <f t="shared" si="11"/>
        <v>#DIV/0!</v>
      </c>
    </row>
    <row r="105" spans="2:8">
      <c r="B105" s="4">
        <v>16</v>
      </c>
      <c r="C105" s="155" t="e">
        <f>IF(INSTRUCTIONS!$Q$7="Basic",_xlfn.XLOOKUP(B105,'Basic Teacher Analysis'!$Q$5:$Q$35,'Basic Teacher Analysis'!$R$5:$R$35),_xlfn.XLOOKUP(B105,'Advanced Teacher Analysis'!$C$6:$C$36,'Advanced Teacher Analysis'!$E$6:$E$36))</f>
        <v>#DIV/0!</v>
      </c>
      <c r="D105" s="387" t="e">
        <f>IF(INSTRUCTIONS!$Q$7="Basic",_xlfn.XLOOKUP(B105,'Basic Teacher Analysis'!$Q$5:$Q$35,'Basic Teacher Analysis'!$S$5:$S$35),_xlfn.XLOOKUP(B105,'Advanced Teacher Analysis'!$C$97:$C$127, 'Advanced Teacher Analysis'!$E$97:$E$127))</f>
        <v>#DIV/0!</v>
      </c>
      <c r="E105" s="534">
        <f>IF(D82=0, E104, D82)</f>
        <v>0</v>
      </c>
      <c r="F105" s="333" t="e">
        <f t="shared" si="10"/>
        <v>#DIV/0!</v>
      </c>
      <c r="G105" s="537">
        <f>IF(D80=0, G104, D80)</f>
        <v>0</v>
      </c>
      <c r="H105" s="333" t="e">
        <f t="shared" si="11"/>
        <v>#DIV/0!</v>
      </c>
    </row>
    <row r="106" spans="2:8">
      <c r="B106" s="4">
        <v>17</v>
      </c>
      <c r="C106" s="155" t="e">
        <f>IF(INSTRUCTIONS!$Q$7="Basic",_xlfn.XLOOKUP(B106,'Basic Teacher Analysis'!$Q$5:$Q$35,'Basic Teacher Analysis'!$R$5:$R$35),_xlfn.XLOOKUP(B106,'Advanced Teacher Analysis'!$C$6:$C$36,'Advanced Teacher Analysis'!$E$6:$E$36))</f>
        <v>#DIV/0!</v>
      </c>
      <c r="D106" s="387" t="e">
        <f>IF(INSTRUCTIONS!$Q$7="Basic",_xlfn.XLOOKUP(B106,'Basic Teacher Analysis'!$Q$5:$Q$35,'Basic Teacher Analysis'!$S$5:$S$35),_xlfn.XLOOKUP(B106,'Advanced Teacher Analysis'!$C$97:$C$127, 'Advanced Teacher Analysis'!$E$97:$E$127))</f>
        <v>#DIV/0!</v>
      </c>
      <c r="E106" s="534">
        <f>IF(D83=0, E105, D83)</f>
        <v>0</v>
      </c>
      <c r="F106" s="333" t="e">
        <f t="shared" si="10"/>
        <v>#DIV/0!</v>
      </c>
      <c r="G106" s="537">
        <f>IF(D80=0, G105, D80)</f>
        <v>0</v>
      </c>
      <c r="H106" s="333" t="e">
        <f t="shared" si="11"/>
        <v>#DIV/0!</v>
      </c>
    </row>
    <row r="107" spans="2:8">
      <c r="B107" s="4">
        <v>18</v>
      </c>
      <c r="C107" s="155" t="e">
        <f>IF(INSTRUCTIONS!$Q$7="Basic",_xlfn.XLOOKUP(B107,'Basic Teacher Analysis'!$Q$5:$Q$35,'Basic Teacher Analysis'!$R$5:$R$35),_xlfn.XLOOKUP(B107,'Advanced Teacher Analysis'!$C$6:$C$36,'Advanced Teacher Analysis'!$E$6:$E$36))</f>
        <v>#DIV/0!</v>
      </c>
      <c r="D107" s="387" t="e">
        <f>IF(INSTRUCTIONS!$Q$7="Basic",_xlfn.XLOOKUP(B107,'Basic Teacher Analysis'!$Q$5:$Q$35,'Basic Teacher Analysis'!$S$5:$S$35),_xlfn.XLOOKUP(B107,'Advanced Teacher Analysis'!$C$97:$C$127, 'Advanced Teacher Analysis'!$E$97:$E$127))</f>
        <v>#DIV/0!</v>
      </c>
      <c r="E107" s="534">
        <f>IF(D83=0, E106, D83)</f>
        <v>0</v>
      </c>
      <c r="F107" s="333" t="e">
        <f t="shared" si="10"/>
        <v>#DIV/0!</v>
      </c>
      <c r="G107" s="537">
        <f>IF(D81=0, G106, D81)</f>
        <v>0</v>
      </c>
      <c r="H107" s="333" t="e">
        <f t="shared" si="11"/>
        <v>#DIV/0!</v>
      </c>
    </row>
    <row r="108" spans="2:8">
      <c r="B108" s="4">
        <v>19</v>
      </c>
      <c r="C108" s="155" t="e">
        <f>IF(INSTRUCTIONS!$Q$7="Basic",_xlfn.XLOOKUP(B108,'Basic Teacher Analysis'!$Q$5:$Q$35,'Basic Teacher Analysis'!$R$5:$R$35),_xlfn.XLOOKUP(B108,'Advanced Teacher Analysis'!$C$6:$C$36,'Advanced Teacher Analysis'!$E$6:$E$36))</f>
        <v>#DIV/0!</v>
      </c>
      <c r="D108" s="387" t="e">
        <f>IF(INSTRUCTIONS!$Q$7="Basic",_xlfn.XLOOKUP(B108,'Basic Teacher Analysis'!$Q$5:$Q$35,'Basic Teacher Analysis'!$S$5:$S$35),_xlfn.XLOOKUP(B108,'Advanced Teacher Analysis'!$C$97:$C$127, 'Advanced Teacher Analysis'!$E$97:$E$127))</f>
        <v>#DIV/0!</v>
      </c>
      <c r="E108" s="534">
        <f>IF(D84=0, E107, D84)</f>
        <v>0</v>
      </c>
      <c r="F108" s="333" t="e">
        <f t="shared" si="10"/>
        <v>#DIV/0!</v>
      </c>
      <c r="G108" s="537">
        <f>IF(D81=0, G107, D81)</f>
        <v>0</v>
      </c>
      <c r="H108" s="333" t="e">
        <f t="shared" si="11"/>
        <v>#DIV/0!</v>
      </c>
    </row>
    <row r="109" spans="2:8">
      <c r="B109" s="4">
        <v>20</v>
      </c>
      <c r="C109" s="155" t="e">
        <f>IF(INSTRUCTIONS!$Q$7="Basic",_xlfn.XLOOKUP(B109,'Basic Teacher Analysis'!$Q$5:$Q$35,'Basic Teacher Analysis'!$R$5:$R$35),_xlfn.XLOOKUP(B109,'Advanced Teacher Analysis'!$C$6:$C$36,'Advanced Teacher Analysis'!$E$6:$E$36))</f>
        <v>#DIV/0!</v>
      </c>
      <c r="D109" s="387" t="e">
        <f>IF(INSTRUCTIONS!$Q$7="Basic",_xlfn.XLOOKUP(B109,'Basic Teacher Analysis'!$Q$5:$Q$35,'Basic Teacher Analysis'!$S$5:$S$35),_xlfn.XLOOKUP(B109,'Advanced Teacher Analysis'!$C$97:$C$127, 'Advanced Teacher Analysis'!$E$97:$E$127))</f>
        <v>#DIV/0!</v>
      </c>
      <c r="E109" s="534">
        <f>IF(D84=0, E108, D84)</f>
        <v>0</v>
      </c>
      <c r="F109" s="333" t="e">
        <f t="shared" si="10"/>
        <v>#DIV/0!</v>
      </c>
      <c r="G109" s="537">
        <f>IF(D81=0, G108, D81)</f>
        <v>0</v>
      </c>
      <c r="H109" s="333" t="e">
        <f t="shared" si="11"/>
        <v>#DIV/0!</v>
      </c>
    </row>
    <row r="110" spans="2:8">
      <c r="B110" s="4">
        <v>21</v>
      </c>
      <c r="C110" s="155" t="e">
        <f>IF(INSTRUCTIONS!$Q$7="Basic",_xlfn.XLOOKUP(B110,'Basic Teacher Analysis'!$Q$5:$Q$35,'Basic Teacher Analysis'!$R$5:$R$35),_xlfn.XLOOKUP(B110,'Advanced Teacher Analysis'!$C$6:$C$36,'Advanced Teacher Analysis'!$E$6:$E$36))</f>
        <v>#DIV/0!</v>
      </c>
      <c r="D110" s="387" t="e">
        <f>IF(INSTRUCTIONS!$Q$7="Basic",_xlfn.XLOOKUP(B110,'Basic Teacher Analysis'!$Q$5:$Q$35,'Basic Teacher Analysis'!$S$5:$S$35),_xlfn.XLOOKUP(B110,'Advanced Teacher Analysis'!$C$97:$C$127, 'Advanced Teacher Analysis'!$E$97:$E$127))</f>
        <v>#DIV/0!</v>
      </c>
      <c r="E110" s="534">
        <f>E109</f>
        <v>0</v>
      </c>
      <c r="F110" s="333" t="e">
        <f t="shared" si="10"/>
        <v>#DIV/0!</v>
      </c>
      <c r="G110" s="537">
        <f>IF(D82=0, G109, D82)</f>
        <v>0</v>
      </c>
      <c r="H110" s="333" t="e">
        <f t="shared" si="11"/>
        <v>#DIV/0!</v>
      </c>
    </row>
    <row r="111" spans="2:8">
      <c r="B111" s="4">
        <v>22</v>
      </c>
      <c r="C111" s="155" t="e">
        <f>IF(INSTRUCTIONS!$Q$7="Basic",_xlfn.XLOOKUP(B111,'Basic Teacher Analysis'!$Q$5:$Q$35,'Basic Teacher Analysis'!$R$5:$R$35),_xlfn.XLOOKUP(B111,'Advanced Teacher Analysis'!$C$6:$C$36,'Advanced Teacher Analysis'!$E$6:$E$36))</f>
        <v>#DIV/0!</v>
      </c>
      <c r="D111" s="387" t="e">
        <f>IF(INSTRUCTIONS!$Q$7="Basic",_xlfn.XLOOKUP(B111,'Basic Teacher Analysis'!$Q$5:$Q$35,'Basic Teacher Analysis'!$S$5:$S$35),_xlfn.XLOOKUP(B111,'Advanced Teacher Analysis'!$C$97:$C$127, 'Advanced Teacher Analysis'!$E$97:$E$127))</f>
        <v>#DIV/0!</v>
      </c>
      <c r="E111" s="534">
        <f t="shared" ref="E111:E119" si="13">E110</f>
        <v>0</v>
      </c>
      <c r="F111" s="333" t="e">
        <f t="shared" si="10"/>
        <v>#DIV/0!</v>
      </c>
      <c r="G111" s="537">
        <f>IF(D82=0, G110, D82)</f>
        <v>0</v>
      </c>
      <c r="H111" s="333" t="e">
        <f t="shared" si="11"/>
        <v>#DIV/0!</v>
      </c>
    </row>
    <row r="112" spans="2:8">
      <c r="B112" s="4">
        <v>23</v>
      </c>
      <c r="C112" s="155" t="e">
        <f>IF(INSTRUCTIONS!$Q$7="Basic",_xlfn.XLOOKUP(B112,'Basic Teacher Analysis'!$Q$5:$Q$35,'Basic Teacher Analysis'!$R$5:$R$35),_xlfn.XLOOKUP(B112,'Advanced Teacher Analysis'!$C$6:$C$36,'Advanced Teacher Analysis'!$E$6:$E$36))</f>
        <v>#DIV/0!</v>
      </c>
      <c r="D112" s="387" t="e">
        <f>IF(INSTRUCTIONS!$Q$7="Basic",_xlfn.XLOOKUP(B112,'Basic Teacher Analysis'!$Q$5:$Q$35,'Basic Teacher Analysis'!$S$5:$S$35),_xlfn.XLOOKUP(B112,'Advanced Teacher Analysis'!$C$97:$C$127, 'Advanced Teacher Analysis'!$E$97:$E$127))</f>
        <v>#DIV/0!</v>
      </c>
      <c r="E112" s="534">
        <f t="shared" si="13"/>
        <v>0</v>
      </c>
      <c r="F112" s="333" t="e">
        <f t="shared" si="10"/>
        <v>#DIV/0!</v>
      </c>
      <c r="G112" s="537">
        <f>IF(D82=0, G111, D82)</f>
        <v>0</v>
      </c>
      <c r="H112" s="333" t="e">
        <f t="shared" si="11"/>
        <v>#DIV/0!</v>
      </c>
    </row>
    <row r="113" spans="2:8">
      <c r="B113" s="4">
        <v>24</v>
      </c>
      <c r="C113" s="155" t="e">
        <f>IF(INSTRUCTIONS!$Q$7="Basic",_xlfn.XLOOKUP(B113,'Basic Teacher Analysis'!$Q$5:$Q$35,'Basic Teacher Analysis'!$R$5:$R$35),_xlfn.XLOOKUP(B113,'Advanced Teacher Analysis'!$C$6:$C$36,'Advanced Teacher Analysis'!$E$6:$E$36))</f>
        <v>#DIV/0!</v>
      </c>
      <c r="D113" s="387" t="e">
        <f>IF(INSTRUCTIONS!$Q$7="Basic",_xlfn.XLOOKUP(B113,'Basic Teacher Analysis'!$Q$5:$Q$35,'Basic Teacher Analysis'!$S$5:$S$35),_xlfn.XLOOKUP(B113,'Advanced Teacher Analysis'!$C$97:$C$127, 'Advanced Teacher Analysis'!$E$97:$E$127))</f>
        <v>#DIV/0!</v>
      </c>
      <c r="E113" s="534">
        <f t="shared" si="13"/>
        <v>0</v>
      </c>
      <c r="F113" s="333" t="e">
        <f t="shared" si="10"/>
        <v>#DIV/0!</v>
      </c>
      <c r="G113" s="537">
        <f>IF(D83=0, G112, D83)</f>
        <v>0</v>
      </c>
      <c r="H113" s="333" t="e">
        <f t="shared" si="11"/>
        <v>#DIV/0!</v>
      </c>
    </row>
    <row r="114" spans="2:8">
      <c r="B114" s="4">
        <v>25</v>
      </c>
      <c r="C114" s="155" t="e">
        <f>IF(INSTRUCTIONS!$Q$7="Basic",_xlfn.XLOOKUP(B114,'Basic Teacher Analysis'!$Q$5:$Q$35,'Basic Teacher Analysis'!$R$5:$R$35),_xlfn.XLOOKUP(B114,'Advanced Teacher Analysis'!$C$6:$C$36,'Advanced Teacher Analysis'!$E$6:$E$36))</f>
        <v>#DIV/0!</v>
      </c>
      <c r="D114" s="387" t="e">
        <f>IF(INSTRUCTIONS!$Q$7="Basic",_xlfn.XLOOKUP(B114,'Basic Teacher Analysis'!$Q$5:$Q$35,'Basic Teacher Analysis'!$S$5:$S$35),_xlfn.XLOOKUP(B114,'Advanced Teacher Analysis'!$C$97:$C$127, 'Advanced Teacher Analysis'!$E$97:$E$127))</f>
        <v>#DIV/0!</v>
      </c>
      <c r="E114" s="534">
        <f t="shared" si="13"/>
        <v>0</v>
      </c>
      <c r="F114" s="333" t="e">
        <f t="shared" si="10"/>
        <v>#DIV/0!</v>
      </c>
      <c r="G114" s="537">
        <f>IF(D83=0, G113, D83)</f>
        <v>0</v>
      </c>
      <c r="H114" s="333" t="e">
        <f t="shared" si="11"/>
        <v>#DIV/0!</v>
      </c>
    </row>
    <row r="115" spans="2:8">
      <c r="B115" s="4">
        <v>26</v>
      </c>
      <c r="C115" s="155" t="e">
        <f>IF(INSTRUCTIONS!$Q$7="Basic",_xlfn.XLOOKUP(B115,'Basic Teacher Analysis'!$Q$5:$Q$35,'Basic Teacher Analysis'!$R$5:$R$35),_xlfn.XLOOKUP(B115,'Advanced Teacher Analysis'!$C$6:$C$36,'Advanced Teacher Analysis'!$E$6:$E$36))</f>
        <v>#DIV/0!</v>
      </c>
      <c r="D115" s="387" t="e">
        <f>IF(INSTRUCTIONS!$Q$7="Basic",_xlfn.XLOOKUP(B115,'Basic Teacher Analysis'!$Q$5:$Q$35,'Basic Teacher Analysis'!$S$5:$S$35),_xlfn.XLOOKUP(B115,'Advanced Teacher Analysis'!$C$97:$C$127, 'Advanced Teacher Analysis'!$E$97:$E$127))</f>
        <v>#DIV/0!</v>
      </c>
      <c r="E115" s="534">
        <f t="shared" si="13"/>
        <v>0</v>
      </c>
      <c r="F115" s="333" t="e">
        <f t="shared" si="10"/>
        <v>#DIV/0!</v>
      </c>
      <c r="G115" s="537">
        <f>IF(D83=0, G114, D83)</f>
        <v>0</v>
      </c>
      <c r="H115" s="333" t="e">
        <f t="shared" si="11"/>
        <v>#DIV/0!</v>
      </c>
    </row>
    <row r="116" spans="2:8">
      <c r="B116" s="4">
        <v>27</v>
      </c>
      <c r="C116" s="155" t="e">
        <f>IF(INSTRUCTIONS!$Q$7="Basic",_xlfn.XLOOKUP(B116,'Basic Teacher Analysis'!$Q$5:$Q$35,'Basic Teacher Analysis'!$R$5:$R$35),_xlfn.XLOOKUP(B116,'Advanced Teacher Analysis'!$C$6:$C$36,'Advanced Teacher Analysis'!$E$6:$E$36))</f>
        <v>#DIV/0!</v>
      </c>
      <c r="D116" s="387" t="e">
        <f>IF(INSTRUCTIONS!$Q$7="Basic",_xlfn.XLOOKUP(B116,'Basic Teacher Analysis'!$Q$5:$Q$35,'Basic Teacher Analysis'!$S$5:$S$35),_xlfn.XLOOKUP(B116,'Advanced Teacher Analysis'!$C$97:$C$127, 'Advanced Teacher Analysis'!$E$97:$E$127))</f>
        <v>#DIV/0!</v>
      </c>
      <c r="E116" s="534">
        <f t="shared" si="13"/>
        <v>0</v>
      </c>
      <c r="F116" s="333" t="e">
        <f t="shared" si="10"/>
        <v>#DIV/0!</v>
      </c>
      <c r="G116" s="537">
        <f>IF(D84=0, G115, D84)</f>
        <v>0</v>
      </c>
      <c r="H116" s="333" t="e">
        <f t="shared" si="11"/>
        <v>#DIV/0!</v>
      </c>
    </row>
    <row r="117" spans="2:8">
      <c r="B117" s="4">
        <v>28</v>
      </c>
      <c r="C117" s="155" t="e">
        <f>IF(INSTRUCTIONS!$Q$7="Basic",_xlfn.XLOOKUP(B117,'Basic Teacher Analysis'!$Q$5:$Q$35,'Basic Teacher Analysis'!$R$5:$R$35),_xlfn.XLOOKUP(B117,'Advanced Teacher Analysis'!$C$6:$C$36,'Advanced Teacher Analysis'!$E$6:$E$36))</f>
        <v>#DIV/0!</v>
      </c>
      <c r="D117" s="387" t="e">
        <f>IF(INSTRUCTIONS!$Q$7="Basic",_xlfn.XLOOKUP(B117,'Basic Teacher Analysis'!$Q$5:$Q$35,'Basic Teacher Analysis'!$S$5:$S$35),_xlfn.XLOOKUP(B117,'Advanced Teacher Analysis'!$C$97:$C$127, 'Advanced Teacher Analysis'!$E$97:$E$127))</f>
        <v>#DIV/0!</v>
      </c>
      <c r="E117" s="534">
        <f t="shared" si="13"/>
        <v>0</v>
      </c>
      <c r="F117" s="333" t="e">
        <f t="shared" si="10"/>
        <v>#DIV/0!</v>
      </c>
      <c r="G117" s="537">
        <f>IF(D84=0, G116, D84)</f>
        <v>0</v>
      </c>
      <c r="H117" s="333" t="e">
        <f t="shared" si="11"/>
        <v>#DIV/0!</v>
      </c>
    </row>
    <row r="118" spans="2:8">
      <c r="B118" s="4">
        <v>29</v>
      </c>
      <c r="C118" s="155" t="e">
        <f>IF(INSTRUCTIONS!$Q$7="Basic",_xlfn.XLOOKUP(B118,'Basic Teacher Analysis'!$Q$5:$Q$35,'Basic Teacher Analysis'!$R$5:$R$35),_xlfn.XLOOKUP(B118,'Advanced Teacher Analysis'!$C$6:$C$36,'Advanced Teacher Analysis'!$E$6:$E$36))</f>
        <v>#DIV/0!</v>
      </c>
      <c r="D118" s="387" t="e">
        <f>IF(INSTRUCTIONS!$Q$7="Basic",_xlfn.XLOOKUP(B118,'Basic Teacher Analysis'!$Q$5:$Q$35,'Basic Teacher Analysis'!$S$5:$S$35),_xlfn.XLOOKUP(B118,'Advanced Teacher Analysis'!$C$97:$C$127, 'Advanced Teacher Analysis'!$E$97:$E$127))</f>
        <v>#DIV/0!</v>
      </c>
      <c r="E118" s="534">
        <f t="shared" si="13"/>
        <v>0</v>
      </c>
      <c r="F118" s="333" t="e">
        <f t="shared" si="10"/>
        <v>#DIV/0!</v>
      </c>
      <c r="G118" s="537">
        <f>IF(D84=0, G117, D84)</f>
        <v>0</v>
      </c>
      <c r="H118" s="333" t="e">
        <f t="shared" si="11"/>
        <v>#DIV/0!</v>
      </c>
    </row>
    <row r="119" spans="2:8" ht="15" thickBot="1">
      <c r="B119" s="109">
        <v>30</v>
      </c>
      <c r="C119" s="388" t="e">
        <f>IF(INSTRUCTIONS!$Q$7="Basic",_xlfn.XLOOKUP(B119,'Basic Teacher Analysis'!$Q$5:$Q$35,'Basic Teacher Analysis'!$R$5:$R$35),_xlfn.XLOOKUP(B119,'Advanced Teacher Analysis'!$C$6:$C$36,'Advanced Teacher Analysis'!$E$6:$E$36))</f>
        <v>#DIV/0!</v>
      </c>
      <c r="D119" s="388" t="e">
        <f>IF(INSTRUCTIONS!$Q$7="Basic",_xlfn.XLOOKUP(B119,'Basic Teacher Analysis'!$Q$5:$Q$35,'Basic Teacher Analysis'!$S$5:$S$35),_xlfn.XLOOKUP(B119,'Advanced Teacher Analysis'!$C$97:$C$127, 'Advanced Teacher Analysis'!$E$97:$E$127))</f>
        <v>#DIV/0!</v>
      </c>
      <c r="E119" s="535">
        <f t="shared" si="13"/>
        <v>0</v>
      </c>
      <c r="F119" s="427" t="e">
        <f t="shared" si="10"/>
        <v>#DIV/0!</v>
      </c>
      <c r="G119" s="538">
        <f>G118</f>
        <v>0</v>
      </c>
      <c r="H119" s="427" t="e">
        <f t="shared" si="11"/>
        <v>#DIV/0!</v>
      </c>
    </row>
    <row r="121" spans="2:8" ht="15" thickBot="1"/>
    <row r="122" spans="2:8" ht="15" thickBot="1">
      <c r="B122" s="1465" t="s">
        <v>588</v>
      </c>
      <c r="C122" s="1467"/>
    </row>
    <row r="123" spans="2:8">
      <c r="B123" s="100" t="s">
        <v>119</v>
      </c>
      <c r="C123" s="105">
        <f>IF(INSTRUCTIONS!$Q$7="Basic", 'Basic Teacher Analysis'!N63, 'Advanced Teacher Analysis'!Q42)</f>
        <v>0</v>
      </c>
    </row>
    <row r="124" spans="2:8" ht="15" thickBot="1">
      <c r="B124" s="11" t="s">
        <v>147</v>
      </c>
      <c r="C124" s="82">
        <f>IF(INSTRUCTIONS!$Q$7="Basic", 'Basic Teacher Analysis'!N65, 'Advanced Teacher Analysis'!Q44)</f>
        <v>0</v>
      </c>
    </row>
  </sheetData>
  <sheetProtection algorithmName="SHA-512" hashValue="pOO+b8XjC4S46QnakJR3Npo0Dncx7Qp7MviVxXIS9ZNv6YHbrEEVpZ2d3f+aVkGM/vgBnBFNSZCapU6T27hSlQ==" saltValue="4dUFmOobM6suS2MNLBGzyg==" spinCount="100000" sheet="1" objects="1" scenarios="1"/>
  <mergeCells count="18">
    <mergeCell ref="B87:D87"/>
    <mergeCell ref="L21:M21"/>
    <mergeCell ref="N21:O21"/>
    <mergeCell ref="B122:C122"/>
    <mergeCell ref="E61:F61"/>
    <mergeCell ref="B51:E51"/>
    <mergeCell ref="E87:F87"/>
    <mergeCell ref="G87:H87"/>
    <mergeCell ref="B17:D17"/>
    <mergeCell ref="B1:D1"/>
    <mergeCell ref="B13:D13"/>
    <mergeCell ref="K11:N11"/>
    <mergeCell ref="W16:Y16"/>
    <mergeCell ref="P20:S20"/>
    <mergeCell ref="P21:Q21"/>
    <mergeCell ref="R21:S21"/>
    <mergeCell ref="K1:M1"/>
    <mergeCell ref="W1:Y1"/>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62DF6-815F-48BC-A593-2363E905EF1C}">
  <sheetPr codeName="Sheet12">
    <tabColor theme="1"/>
  </sheetPr>
  <dimension ref="B2:P104"/>
  <sheetViews>
    <sheetView workbookViewId="0">
      <selection activeCell="S14" sqref="S14"/>
    </sheetView>
  </sheetViews>
  <sheetFormatPr defaultRowHeight="14.45"/>
  <cols>
    <col min="2" max="2" width="11.140625" bestFit="1" customWidth="1"/>
    <col min="3" max="3" width="13" customWidth="1"/>
    <col min="4" max="4" width="15.42578125" customWidth="1"/>
    <col min="5" max="5" width="10.42578125" customWidth="1"/>
    <col min="7" max="7" width="4.42578125" style="1" customWidth="1"/>
    <col min="9" max="9" width="26.140625" customWidth="1"/>
    <col min="10" max="10" width="14.5703125" bestFit="1" customWidth="1"/>
    <col min="11" max="11" width="13.5703125" bestFit="1" customWidth="1"/>
    <col min="12" max="12" width="20.42578125" bestFit="1" customWidth="1"/>
    <col min="14" max="14" width="4.42578125" style="1" customWidth="1"/>
  </cols>
  <sheetData>
    <row r="2" spans="2:16" ht="26.1">
      <c r="B2" s="3" t="s">
        <v>589</v>
      </c>
      <c r="I2" s="3" t="s">
        <v>590</v>
      </c>
    </row>
    <row r="3" spans="2:16" ht="18" customHeight="1" thickBot="1">
      <c r="B3" s="3"/>
    </row>
    <row r="4" spans="2:16" ht="15.95" customHeight="1" thickBot="1">
      <c r="B4" s="1465" t="s">
        <v>241</v>
      </c>
      <c r="C4" s="1467"/>
      <c r="I4" s="1549" t="s">
        <v>591</v>
      </c>
      <c r="J4" s="1550"/>
      <c r="K4" s="1550"/>
      <c r="L4" s="1551"/>
      <c r="P4" s="430">
        <v>0</v>
      </c>
    </row>
    <row r="5" spans="2:16" ht="15.6" customHeight="1" thickBot="1">
      <c r="B5" s="11" t="s">
        <v>188</v>
      </c>
      <c r="C5" s="151">
        <f>IF(INSTRUCTIONS!$Q$7="Basic",'Basic Teacher Analysis'!D4,SUM('Advanced Teacher Analysis'!D6:D36))</f>
        <v>0</v>
      </c>
      <c r="I5" s="100"/>
      <c r="J5" s="9" t="s">
        <v>592</v>
      </c>
      <c r="K5" s="424" t="s">
        <v>593</v>
      </c>
      <c r="L5" s="425" t="s">
        <v>594</v>
      </c>
      <c r="P5" s="430">
        <f>P4+0.01</f>
        <v>0.01</v>
      </c>
    </row>
    <row r="6" spans="2:16" ht="15" thickBot="1">
      <c r="I6" s="100" t="s">
        <v>595</v>
      </c>
      <c r="J6" t="e">
        <f>ROUNDUP(C8/D14, 0)</f>
        <v>#DIV/0!</v>
      </c>
      <c r="K6" t="e">
        <f>ROUNDUP(C9/D15, 0)</f>
        <v>#DIV/0!</v>
      </c>
      <c r="L6" s="111" t="e">
        <f>ROUNDUP(C10/D16, 0)</f>
        <v>#DIV/0!</v>
      </c>
      <c r="P6" s="430">
        <f t="shared" ref="P6:P69" si="0">P5+0.01</f>
        <v>0.02</v>
      </c>
    </row>
    <row r="7" spans="2:16" ht="15" thickBot="1">
      <c r="B7" s="1465" t="s">
        <v>596</v>
      </c>
      <c r="C7" s="1467"/>
      <c r="I7" s="100" t="s">
        <v>597</v>
      </c>
      <c r="J7" t="e">
        <f>J6/D26</f>
        <v>#DIV/0!</v>
      </c>
      <c r="K7" t="e">
        <f>K6/D27</f>
        <v>#DIV/0!</v>
      </c>
      <c r="L7" s="111" t="e">
        <f>L6/D28</f>
        <v>#DIV/0!</v>
      </c>
      <c r="P7" s="430">
        <f t="shared" si="0"/>
        <v>0.03</v>
      </c>
    </row>
    <row r="8" spans="2:16">
      <c r="B8" s="100" t="s">
        <v>592</v>
      </c>
      <c r="C8" s="416">
        <f>'Tradeoff Levers'!R10</f>
        <v>0</v>
      </c>
      <c r="I8" s="100" t="s">
        <v>598</v>
      </c>
      <c r="J8" t="e">
        <f>ROUNDUP(J7*7, 0)</f>
        <v>#DIV/0!</v>
      </c>
      <c r="K8" t="e">
        <f>ROUNDUP(K7*6, 0)</f>
        <v>#DIV/0!</v>
      </c>
      <c r="L8" s="111" t="e">
        <f>ROUNDUP(L7*6, 0)</f>
        <v>#DIV/0!</v>
      </c>
      <c r="P8" s="430">
        <f t="shared" si="0"/>
        <v>0.04</v>
      </c>
    </row>
    <row r="9" spans="2:16" ht="15" thickBot="1">
      <c r="B9" s="420" t="s">
        <v>593</v>
      </c>
      <c r="C9" s="416">
        <f>'Tradeoff Levers'!R11</f>
        <v>0</v>
      </c>
      <c r="I9" s="11" t="s">
        <v>599</v>
      </c>
      <c r="J9" s="426" t="e">
        <f>J8*C32</f>
        <v>#DIV/0!</v>
      </c>
      <c r="K9" s="426" t="e">
        <f>K8*C32</f>
        <v>#DIV/0!</v>
      </c>
      <c r="L9" s="427" t="e">
        <f>L8*C32</f>
        <v>#DIV/0!</v>
      </c>
      <c r="P9" s="430">
        <f t="shared" si="0"/>
        <v>0.05</v>
      </c>
    </row>
    <row r="10" spans="2:16" ht="15" thickBot="1">
      <c r="B10" s="421" t="s">
        <v>594</v>
      </c>
      <c r="C10" s="151">
        <f>'Tradeoff Levers'!R12</f>
        <v>0</v>
      </c>
      <c r="P10" s="430">
        <f t="shared" si="0"/>
        <v>6.0000000000000005E-2</v>
      </c>
    </row>
    <row r="11" spans="2:16" ht="15" thickBot="1">
      <c r="I11" s="1549" t="s">
        <v>600</v>
      </c>
      <c r="J11" s="1550"/>
      <c r="K11" s="1550"/>
      <c r="L11" s="1551"/>
      <c r="P11" s="430">
        <f t="shared" si="0"/>
        <v>7.0000000000000007E-2</v>
      </c>
    </row>
    <row r="12" spans="2:16" ht="15" thickBot="1">
      <c r="B12" s="1465" t="s">
        <v>601</v>
      </c>
      <c r="C12" s="1466"/>
      <c r="D12" s="1467"/>
      <c r="I12" s="100"/>
      <c r="J12" s="9" t="s">
        <v>592</v>
      </c>
      <c r="K12" s="424" t="s">
        <v>593</v>
      </c>
      <c r="L12" s="425" t="s">
        <v>594</v>
      </c>
      <c r="P12" s="430">
        <f t="shared" si="0"/>
        <v>0.08</v>
      </c>
    </row>
    <row r="13" spans="2:16">
      <c r="B13" s="100"/>
      <c r="C13" s="9" t="s">
        <v>85</v>
      </c>
      <c r="D13" s="287" t="s">
        <v>86</v>
      </c>
      <c r="I13" s="100" t="s">
        <v>595</v>
      </c>
      <c r="K13" t="e">
        <f>ROUNDUP(C9/D21, 0)</f>
        <v>#DIV/0!</v>
      </c>
      <c r="L13" s="111" t="e">
        <f>ROUNDUP(C10/D22, 0)</f>
        <v>#DIV/0!</v>
      </c>
      <c r="P13" s="430">
        <f t="shared" si="0"/>
        <v>0.09</v>
      </c>
    </row>
    <row r="14" spans="2:16">
      <c r="B14" s="100" t="s">
        <v>592</v>
      </c>
      <c r="C14" s="288">
        <f>'Tradeoff Levers'!S10</f>
        <v>0</v>
      </c>
      <c r="D14" s="416">
        <f>'Tradeoff Levers'!T10</f>
        <v>0</v>
      </c>
      <c r="I14" s="100" t="s">
        <v>597</v>
      </c>
      <c r="K14" t="e">
        <f>K13/D27</f>
        <v>#DIV/0!</v>
      </c>
      <c r="L14" s="111" t="e">
        <f>L13/D28</f>
        <v>#DIV/0!</v>
      </c>
      <c r="P14" s="430">
        <f t="shared" si="0"/>
        <v>9.9999999999999992E-2</v>
      </c>
    </row>
    <row r="15" spans="2:16">
      <c r="B15" s="420" t="s">
        <v>593</v>
      </c>
      <c r="C15" s="288">
        <f>'Tradeoff Levers'!S11</f>
        <v>0</v>
      </c>
      <c r="D15" s="416">
        <f>'Tradeoff Levers'!T11</f>
        <v>0</v>
      </c>
      <c r="I15" s="100" t="s">
        <v>598</v>
      </c>
      <c r="K15" t="e">
        <f>ROUNDUP(K14*2, 0)</f>
        <v>#DIV/0!</v>
      </c>
      <c r="L15" s="111" t="e">
        <f>ROUNDUP(L14*2, 0)</f>
        <v>#DIV/0!</v>
      </c>
      <c r="P15" s="430">
        <f t="shared" si="0"/>
        <v>0.10999999999999999</v>
      </c>
    </row>
    <row r="16" spans="2:16" ht="15" thickBot="1">
      <c r="B16" s="421" t="s">
        <v>594</v>
      </c>
      <c r="C16" s="422">
        <f>'Tradeoff Levers'!S12</f>
        <v>0</v>
      </c>
      <c r="D16" s="151">
        <f>'Tradeoff Levers'!T12</f>
        <v>0</v>
      </c>
      <c r="I16" s="11" t="s">
        <v>599</v>
      </c>
      <c r="J16" s="436">
        <v>0</v>
      </c>
      <c r="K16" s="426" t="e">
        <f>K15*C32</f>
        <v>#DIV/0!</v>
      </c>
      <c r="L16" s="427" t="e">
        <f>L15*C32</f>
        <v>#DIV/0!</v>
      </c>
      <c r="P16" s="430">
        <f t="shared" si="0"/>
        <v>0.11999999999999998</v>
      </c>
    </row>
    <row r="17" spans="2:16" ht="15" thickBot="1">
      <c r="B17" s="434"/>
      <c r="P17" s="430">
        <f t="shared" si="0"/>
        <v>0.12999999999999998</v>
      </c>
    </row>
    <row r="18" spans="2:16" ht="15" thickBot="1">
      <c r="B18" s="1552" t="s">
        <v>602</v>
      </c>
      <c r="C18" s="1553"/>
      <c r="D18" s="1554"/>
      <c r="I18" s="1549" t="s">
        <v>603</v>
      </c>
      <c r="J18" s="1551"/>
      <c r="P18" s="430">
        <f t="shared" si="0"/>
        <v>0.13999999999999999</v>
      </c>
    </row>
    <row r="19" spans="2:16">
      <c r="B19" s="435"/>
      <c r="C19" s="89" t="s">
        <v>85</v>
      </c>
      <c r="D19" s="79" t="s">
        <v>86</v>
      </c>
      <c r="I19" s="100" t="s">
        <v>604</v>
      </c>
      <c r="J19" s="428" t="e">
        <f>IF(INSTRUCTIONS!$Q$7="Basic",'Basic Teacher Analysis'!M94, SUM('Advanced Teacher Analysis'!P77:P78))</f>
        <v>#DIV/0!</v>
      </c>
      <c r="P19" s="430">
        <f t="shared" si="0"/>
        <v>0.15</v>
      </c>
    </row>
    <row r="20" spans="2:16" ht="15" thickBot="1">
      <c r="B20" s="100" t="s">
        <v>592</v>
      </c>
      <c r="C20" s="288"/>
      <c r="D20" s="416"/>
      <c r="I20" s="11" t="s">
        <v>605</v>
      </c>
      <c r="J20" s="427" t="e">
        <f>SUM(J9:L9, J16:L16)</f>
        <v>#DIV/0!</v>
      </c>
      <c r="P20" s="430">
        <f t="shared" si="0"/>
        <v>0.16</v>
      </c>
    </row>
    <row r="21" spans="2:16">
      <c r="B21" s="420" t="s">
        <v>593</v>
      </c>
      <c r="C21" s="288">
        <f>'Tradeoff Levers'!R17</f>
        <v>0</v>
      </c>
      <c r="D21" s="416">
        <f>'Tradeoff Levers'!S17</f>
        <v>0</v>
      </c>
      <c r="J21" s="112"/>
      <c r="P21" s="430">
        <f t="shared" si="0"/>
        <v>0.17</v>
      </c>
    </row>
    <row r="22" spans="2:16" ht="15" thickBot="1">
      <c r="B22" s="421" t="s">
        <v>594</v>
      </c>
      <c r="C22" s="422">
        <f>'Tradeoff Levers'!R18</f>
        <v>0</v>
      </c>
      <c r="D22" s="151">
        <f>'Tradeoff Levers'!S18</f>
        <v>0</v>
      </c>
      <c r="P22" s="430">
        <f t="shared" si="0"/>
        <v>0.18000000000000002</v>
      </c>
    </row>
    <row r="23" spans="2:16" ht="15" thickBot="1">
      <c r="P23" s="430">
        <f t="shared" si="0"/>
        <v>0.19000000000000003</v>
      </c>
    </row>
    <row r="24" spans="2:16" ht="15" thickBot="1">
      <c r="B24" s="1465" t="s">
        <v>606</v>
      </c>
      <c r="C24" s="1466"/>
      <c r="D24" s="1467"/>
      <c r="P24" s="430">
        <f t="shared" si="0"/>
        <v>0.20000000000000004</v>
      </c>
    </row>
    <row r="25" spans="2:16">
      <c r="B25" s="100"/>
      <c r="C25" s="9" t="s">
        <v>85</v>
      </c>
      <c r="D25" s="287" t="s">
        <v>86</v>
      </c>
      <c r="P25" s="430">
        <f t="shared" si="0"/>
        <v>0.21000000000000005</v>
      </c>
    </row>
    <row r="26" spans="2:16">
      <c r="B26" s="100" t="s">
        <v>592</v>
      </c>
      <c r="C26" s="288">
        <f>'Tradeoff Levers'!S22</f>
        <v>0</v>
      </c>
      <c r="D26" s="416">
        <f>'Tradeoff Levers'!T22</f>
        <v>0</v>
      </c>
      <c r="P26" s="430">
        <f t="shared" si="0"/>
        <v>0.22000000000000006</v>
      </c>
    </row>
    <row r="27" spans="2:16">
      <c r="B27" s="420" t="s">
        <v>593</v>
      </c>
      <c r="C27" s="288">
        <f>'Tradeoff Levers'!S23</f>
        <v>0</v>
      </c>
      <c r="D27" s="416">
        <f>'Tradeoff Levers'!T23</f>
        <v>0</v>
      </c>
      <c r="P27" s="430">
        <f t="shared" si="0"/>
        <v>0.23000000000000007</v>
      </c>
    </row>
    <row r="28" spans="2:16" ht="15" thickBot="1">
      <c r="B28" s="421" t="s">
        <v>594</v>
      </c>
      <c r="C28" s="422">
        <f>'Tradeoff Levers'!S24</f>
        <v>0</v>
      </c>
      <c r="D28" s="151">
        <f>'Tradeoff Levers'!T24</f>
        <v>0</v>
      </c>
      <c r="P28" s="430">
        <f t="shared" si="0"/>
        <v>0.24000000000000007</v>
      </c>
    </row>
    <row r="29" spans="2:16" ht="15" thickBot="1">
      <c r="P29" s="430">
        <f t="shared" si="0"/>
        <v>0.25000000000000006</v>
      </c>
    </row>
    <row r="30" spans="2:16" ht="15" thickBot="1">
      <c r="B30" s="1465" t="s">
        <v>607</v>
      </c>
      <c r="C30" s="1467"/>
      <c r="I30" s="332"/>
      <c r="P30" s="430">
        <f t="shared" si="0"/>
        <v>0.26000000000000006</v>
      </c>
    </row>
    <row r="31" spans="2:16">
      <c r="B31" s="152" t="s">
        <v>85</v>
      </c>
      <c r="C31" s="159" t="s">
        <v>86</v>
      </c>
      <c r="P31" s="430">
        <f t="shared" si="0"/>
        <v>0.27000000000000007</v>
      </c>
    </row>
    <row r="32" spans="2:16" ht="15" thickBot="1">
      <c r="B32" s="228" t="e">
        <f>IF(INSTRUCTIONS!$Q$7="Basic", 'Basic Teacher Analysis'!M95, 'Advanced Teacher Analysis'!P79)</f>
        <v>#DIV/0!</v>
      </c>
      <c r="C32" s="87" t="e">
        <f>IF(INSTRUCTIONS!$Q$7="Basic", 'Basic Teacher Analysis'!N95, 'Advanced Teacher Analysis'!Q79)</f>
        <v>#DIV/0!</v>
      </c>
      <c r="P32" s="430">
        <f t="shared" si="0"/>
        <v>0.28000000000000008</v>
      </c>
    </row>
    <row r="33" spans="2:16" ht="15" thickBot="1">
      <c r="P33" s="430">
        <f t="shared" si="0"/>
        <v>0.29000000000000009</v>
      </c>
    </row>
    <row r="34" spans="2:16" ht="15" thickBot="1">
      <c r="B34" s="1465" t="s">
        <v>319</v>
      </c>
      <c r="C34" s="1466"/>
      <c r="D34" s="1466"/>
      <c r="E34" s="1467"/>
      <c r="P34" s="430">
        <f t="shared" si="0"/>
        <v>0.3000000000000001</v>
      </c>
    </row>
    <row r="35" spans="2:16">
      <c r="B35" s="153" t="s">
        <v>142</v>
      </c>
      <c r="C35" s="9" t="s">
        <v>608</v>
      </c>
      <c r="D35" s="9" t="s">
        <v>609</v>
      </c>
      <c r="E35" s="287" t="s">
        <v>610</v>
      </c>
      <c r="P35" s="430">
        <f t="shared" si="0"/>
        <v>0.31000000000000011</v>
      </c>
    </row>
    <row r="36" spans="2:16">
      <c r="B36" s="334">
        <f>'Tradeoff Levers'!Q33</f>
        <v>0</v>
      </c>
      <c r="C36" s="288">
        <f>'Tradeoff Levers'!S33*'Tradeoff Levers'!R33</f>
        <v>0</v>
      </c>
      <c r="D36" s="260" t="e">
        <f>IF(INSTRUCTIONS!$Q$7="Basic", 'Basic Teacher Analysis'!$N$96, 'Advanced Teacher Analysis'!$Q$80)</f>
        <v>#DIV/0!</v>
      </c>
      <c r="E36" s="85">
        <f>IF(INSTRUCTIONS!$Q$7="Basic", 'Basic - Teachers'!N71, 'Advanced - Teachers'!N99)</f>
        <v>0</v>
      </c>
      <c r="P36" s="430">
        <f t="shared" si="0"/>
        <v>0.32000000000000012</v>
      </c>
    </row>
    <row r="37" spans="2:16">
      <c r="B37" s="334">
        <f>'Tradeoff Levers'!Q34</f>
        <v>0</v>
      </c>
      <c r="C37" s="288">
        <f>'Tradeoff Levers'!S34*'Tradeoff Levers'!R34</f>
        <v>0</v>
      </c>
      <c r="D37" s="260" t="e">
        <f>IF(INSTRUCTIONS!$Q$7="Basic", 'Basic Teacher Analysis'!$N$96, 'Advanced Teacher Analysis'!$Q$80)</f>
        <v>#DIV/0!</v>
      </c>
      <c r="E37" s="85">
        <f>IF(INSTRUCTIONS!$Q$7="Basic", 'Basic - Teachers'!N72, 'Advanced - Teachers'!N100)</f>
        <v>0</v>
      </c>
      <c r="P37" s="430">
        <f t="shared" si="0"/>
        <v>0.33000000000000013</v>
      </c>
    </row>
    <row r="38" spans="2:16">
      <c r="B38" s="334">
        <f>'Tradeoff Levers'!Q35</f>
        <v>0</v>
      </c>
      <c r="C38" s="288">
        <f>'Tradeoff Levers'!S35*'Tradeoff Levers'!R35</f>
        <v>0</v>
      </c>
      <c r="D38" s="260" t="e">
        <f>IF(INSTRUCTIONS!$Q$7="Basic", 'Basic Teacher Analysis'!$N$96, 'Advanced Teacher Analysis'!$Q$80)</f>
        <v>#DIV/0!</v>
      </c>
      <c r="E38" s="85">
        <f>IF(INSTRUCTIONS!$Q$7="Basic", 'Basic - Teachers'!N73, 'Advanced - Teachers'!N101)</f>
        <v>0</v>
      </c>
      <c r="P38" s="430">
        <f t="shared" si="0"/>
        <v>0.34000000000000014</v>
      </c>
    </row>
    <row r="39" spans="2:16">
      <c r="B39" s="334">
        <f>'Tradeoff Levers'!Q36</f>
        <v>0</v>
      </c>
      <c r="C39" s="288">
        <f>'Tradeoff Levers'!S36*'Tradeoff Levers'!R36</f>
        <v>0</v>
      </c>
      <c r="D39" s="260" t="e">
        <f>IF(INSTRUCTIONS!$Q$7="Basic", 'Basic Teacher Analysis'!$N$96, 'Advanced Teacher Analysis'!$Q$80)</f>
        <v>#DIV/0!</v>
      </c>
      <c r="E39" s="85">
        <f>IF(INSTRUCTIONS!$Q$7="Basic", 'Basic - Teachers'!N74, 'Advanced - Teachers'!N102)</f>
        <v>0</v>
      </c>
      <c r="P39" s="430">
        <f t="shared" si="0"/>
        <v>0.35000000000000014</v>
      </c>
    </row>
    <row r="40" spans="2:16" ht="15" thickBot="1">
      <c r="B40" s="423">
        <f>'Tradeoff Levers'!Q37</f>
        <v>0</v>
      </c>
      <c r="C40" s="422">
        <f>'Tradeoff Levers'!S37*'Tradeoff Levers'!R37</f>
        <v>0</v>
      </c>
      <c r="D40" s="86" t="e">
        <f>IF(INSTRUCTIONS!$Q$7="Basic", 'Basic Teacher Analysis'!$N$96, 'Advanced Teacher Analysis'!$Q$80)</f>
        <v>#DIV/0!</v>
      </c>
      <c r="E40" s="87">
        <f>IF(INSTRUCTIONS!$Q$7="Basic", 'Basic - Teachers'!N75, 'Advanced - Teachers'!N103)</f>
        <v>0</v>
      </c>
      <c r="P40" s="430">
        <f t="shared" si="0"/>
        <v>0.36000000000000015</v>
      </c>
    </row>
    <row r="41" spans="2:16">
      <c r="P41" s="430">
        <f t="shared" si="0"/>
        <v>0.37000000000000016</v>
      </c>
    </row>
    <row r="42" spans="2:16">
      <c r="P42" s="430">
        <f t="shared" si="0"/>
        <v>0.38000000000000017</v>
      </c>
    </row>
    <row r="43" spans="2:16">
      <c r="P43" s="430">
        <f t="shared" si="0"/>
        <v>0.39000000000000018</v>
      </c>
    </row>
    <row r="44" spans="2:16">
      <c r="P44" s="430">
        <f t="shared" si="0"/>
        <v>0.40000000000000019</v>
      </c>
    </row>
    <row r="45" spans="2:16">
      <c r="P45" s="430">
        <f t="shared" si="0"/>
        <v>0.4100000000000002</v>
      </c>
    </row>
    <row r="46" spans="2:16">
      <c r="P46" s="430">
        <f t="shared" si="0"/>
        <v>0.42000000000000021</v>
      </c>
    </row>
    <row r="47" spans="2:16">
      <c r="P47" s="430">
        <f t="shared" si="0"/>
        <v>0.43000000000000022</v>
      </c>
    </row>
    <row r="48" spans="2:16">
      <c r="P48" s="430">
        <f t="shared" si="0"/>
        <v>0.44000000000000022</v>
      </c>
    </row>
    <row r="49" spans="16:16">
      <c r="P49" s="430">
        <f t="shared" si="0"/>
        <v>0.45000000000000023</v>
      </c>
    </row>
    <row r="50" spans="16:16">
      <c r="P50" s="430">
        <f t="shared" si="0"/>
        <v>0.46000000000000024</v>
      </c>
    </row>
    <row r="51" spans="16:16">
      <c r="P51" s="430">
        <f t="shared" si="0"/>
        <v>0.47000000000000025</v>
      </c>
    </row>
    <row r="52" spans="16:16">
      <c r="P52" s="430">
        <f t="shared" si="0"/>
        <v>0.48000000000000026</v>
      </c>
    </row>
    <row r="53" spans="16:16">
      <c r="P53" s="430">
        <f t="shared" si="0"/>
        <v>0.49000000000000027</v>
      </c>
    </row>
    <row r="54" spans="16:16">
      <c r="P54" s="430">
        <f t="shared" si="0"/>
        <v>0.50000000000000022</v>
      </c>
    </row>
    <row r="55" spans="16:16">
      <c r="P55" s="430">
        <f t="shared" si="0"/>
        <v>0.51000000000000023</v>
      </c>
    </row>
    <row r="56" spans="16:16">
      <c r="P56" s="430">
        <f t="shared" si="0"/>
        <v>0.52000000000000024</v>
      </c>
    </row>
    <row r="57" spans="16:16">
      <c r="P57" s="430">
        <f t="shared" si="0"/>
        <v>0.53000000000000025</v>
      </c>
    </row>
    <row r="58" spans="16:16">
      <c r="P58" s="430">
        <f t="shared" si="0"/>
        <v>0.54000000000000026</v>
      </c>
    </row>
    <row r="59" spans="16:16">
      <c r="P59" s="430">
        <f t="shared" si="0"/>
        <v>0.55000000000000027</v>
      </c>
    </row>
    <row r="60" spans="16:16">
      <c r="P60" s="430">
        <f t="shared" si="0"/>
        <v>0.56000000000000028</v>
      </c>
    </row>
    <row r="61" spans="16:16">
      <c r="P61" s="430">
        <f t="shared" si="0"/>
        <v>0.57000000000000028</v>
      </c>
    </row>
    <row r="62" spans="16:16">
      <c r="P62" s="430">
        <f t="shared" si="0"/>
        <v>0.58000000000000029</v>
      </c>
    </row>
    <row r="63" spans="16:16">
      <c r="P63" s="430">
        <f t="shared" si="0"/>
        <v>0.5900000000000003</v>
      </c>
    </row>
    <row r="64" spans="16:16">
      <c r="P64" s="430">
        <f t="shared" si="0"/>
        <v>0.60000000000000031</v>
      </c>
    </row>
    <row r="65" spans="16:16">
      <c r="P65" s="430">
        <f t="shared" si="0"/>
        <v>0.61000000000000032</v>
      </c>
    </row>
    <row r="66" spans="16:16">
      <c r="P66" s="430">
        <f t="shared" si="0"/>
        <v>0.62000000000000033</v>
      </c>
    </row>
    <row r="67" spans="16:16">
      <c r="P67" s="430">
        <f t="shared" si="0"/>
        <v>0.63000000000000034</v>
      </c>
    </row>
    <row r="68" spans="16:16">
      <c r="P68" s="430">
        <f t="shared" si="0"/>
        <v>0.64000000000000035</v>
      </c>
    </row>
    <row r="69" spans="16:16">
      <c r="P69" s="430">
        <f t="shared" si="0"/>
        <v>0.65000000000000036</v>
      </c>
    </row>
    <row r="70" spans="16:16">
      <c r="P70" s="430">
        <f t="shared" ref="P70:P104" si="1">P69+0.01</f>
        <v>0.66000000000000036</v>
      </c>
    </row>
    <row r="71" spans="16:16">
      <c r="P71" s="430">
        <f t="shared" si="1"/>
        <v>0.67000000000000037</v>
      </c>
    </row>
    <row r="72" spans="16:16">
      <c r="P72" s="430">
        <f t="shared" si="1"/>
        <v>0.68000000000000038</v>
      </c>
    </row>
    <row r="73" spans="16:16">
      <c r="P73" s="430">
        <f t="shared" si="1"/>
        <v>0.69000000000000039</v>
      </c>
    </row>
    <row r="74" spans="16:16">
      <c r="P74" s="430">
        <f t="shared" si="1"/>
        <v>0.7000000000000004</v>
      </c>
    </row>
    <row r="75" spans="16:16">
      <c r="P75" s="430">
        <f t="shared" si="1"/>
        <v>0.71000000000000041</v>
      </c>
    </row>
    <row r="76" spans="16:16">
      <c r="P76" s="430">
        <f t="shared" si="1"/>
        <v>0.72000000000000042</v>
      </c>
    </row>
    <row r="77" spans="16:16">
      <c r="P77" s="430">
        <f t="shared" si="1"/>
        <v>0.73000000000000043</v>
      </c>
    </row>
    <row r="78" spans="16:16">
      <c r="P78" s="430">
        <f t="shared" si="1"/>
        <v>0.74000000000000044</v>
      </c>
    </row>
    <row r="79" spans="16:16">
      <c r="P79" s="430">
        <f t="shared" si="1"/>
        <v>0.75000000000000044</v>
      </c>
    </row>
    <row r="80" spans="16:16">
      <c r="P80" s="430">
        <f t="shared" si="1"/>
        <v>0.76000000000000045</v>
      </c>
    </row>
    <row r="81" spans="16:16">
      <c r="P81" s="430">
        <f t="shared" si="1"/>
        <v>0.77000000000000046</v>
      </c>
    </row>
    <row r="82" spans="16:16">
      <c r="P82" s="430">
        <f t="shared" si="1"/>
        <v>0.78000000000000047</v>
      </c>
    </row>
    <row r="83" spans="16:16">
      <c r="P83" s="430">
        <f t="shared" si="1"/>
        <v>0.79000000000000048</v>
      </c>
    </row>
    <row r="84" spans="16:16">
      <c r="P84" s="430">
        <f t="shared" si="1"/>
        <v>0.80000000000000049</v>
      </c>
    </row>
    <row r="85" spans="16:16">
      <c r="P85" s="430">
        <f t="shared" si="1"/>
        <v>0.8100000000000005</v>
      </c>
    </row>
    <row r="86" spans="16:16">
      <c r="P86" s="430">
        <f t="shared" si="1"/>
        <v>0.82000000000000051</v>
      </c>
    </row>
    <row r="87" spans="16:16">
      <c r="P87" s="430">
        <f t="shared" si="1"/>
        <v>0.83000000000000052</v>
      </c>
    </row>
    <row r="88" spans="16:16">
      <c r="P88" s="430">
        <f t="shared" si="1"/>
        <v>0.84000000000000052</v>
      </c>
    </row>
    <row r="89" spans="16:16">
      <c r="P89" s="430">
        <f t="shared" si="1"/>
        <v>0.85000000000000053</v>
      </c>
    </row>
    <row r="90" spans="16:16">
      <c r="P90" s="430">
        <f t="shared" si="1"/>
        <v>0.86000000000000054</v>
      </c>
    </row>
    <row r="91" spans="16:16">
      <c r="P91" s="430">
        <f t="shared" si="1"/>
        <v>0.87000000000000055</v>
      </c>
    </row>
    <row r="92" spans="16:16">
      <c r="P92" s="430">
        <f t="shared" si="1"/>
        <v>0.88000000000000056</v>
      </c>
    </row>
    <row r="93" spans="16:16">
      <c r="P93" s="430">
        <f t="shared" si="1"/>
        <v>0.89000000000000057</v>
      </c>
    </row>
    <row r="94" spans="16:16">
      <c r="P94" s="430">
        <f t="shared" si="1"/>
        <v>0.90000000000000058</v>
      </c>
    </row>
    <row r="95" spans="16:16">
      <c r="P95" s="430">
        <f t="shared" si="1"/>
        <v>0.91000000000000059</v>
      </c>
    </row>
    <row r="96" spans="16:16">
      <c r="P96" s="430">
        <f t="shared" si="1"/>
        <v>0.9200000000000006</v>
      </c>
    </row>
    <row r="97" spans="16:16">
      <c r="P97" s="430">
        <f t="shared" si="1"/>
        <v>0.9300000000000006</v>
      </c>
    </row>
    <row r="98" spans="16:16">
      <c r="P98" s="430">
        <f t="shared" si="1"/>
        <v>0.94000000000000061</v>
      </c>
    </row>
    <row r="99" spans="16:16">
      <c r="P99" s="430">
        <f t="shared" si="1"/>
        <v>0.95000000000000062</v>
      </c>
    </row>
    <row r="100" spans="16:16">
      <c r="P100" s="430">
        <f t="shared" si="1"/>
        <v>0.96000000000000063</v>
      </c>
    </row>
    <row r="101" spans="16:16">
      <c r="P101" s="430">
        <f t="shared" si="1"/>
        <v>0.97000000000000064</v>
      </c>
    </row>
    <row r="102" spans="16:16">
      <c r="P102" s="430">
        <f t="shared" si="1"/>
        <v>0.98000000000000065</v>
      </c>
    </row>
    <row r="103" spans="16:16">
      <c r="P103" s="430">
        <f t="shared" si="1"/>
        <v>0.99000000000000066</v>
      </c>
    </row>
    <row r="104" spans="16:16">
      <c r="P104" s="430">
        <f t="shared" si="1"/>
        <v>1.0000000000000007</v>
      </c>
    </row>
  </sheetData>
  <sheetProtection algorithmName="SHA-512" hashValue="LziwoOoXUe2UyL6duQI+s/IH42ge6RIkbUZbkLUgy25O2WH86hnTZV6d2YZg4ZTwFmYCmFFTANfKBLlmfD7cZA==" saltValue="XP6Yjoi7eS8LaYLW2XlKnQ==" spinCount="100000" sheet="1" objects="1" scenarios="1"/>
  <mergeCells count="10">
    <mergeCell ref="B30:C30"/>
    <mergeCell ref="I18:J18"/>
    <mergeCell ref="B34:E34"/>
    <mergeCell ref="I11:L11"/>
    <mergeCell ref="B18:D18"/>
    <mergeCell ref="B4:C4"/>
    <mergeCell ref="B12:D12"/>
    <mergeCell ref="B24:D24"/>
    <mergeCell ref="B7:C7"/>
    <mergeCell ref="I4:L4"/>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391CF6-1C2C-4EFD-8E5B-68AC5DD5A8E5}">
  <sheetPr codeName="Sheet13">
    <tabColor rgb="FF7030A0"/>
  </sheetPr>
  <dimension ref="B1:AB55"/>
  <sheetViews>
    <sheetView showGridLines="0" tabSelected="1" zoomScale="80" zoomScaleNormal="80" workbookViewId="0">
      <pane xSplit="7" ySplit="5" topLeftCell="H6" activePane="bottomRight" state="frozen"/>
      <selection pane="bottomRight" activeCell="D32" sqref="D32"/>
      <selection pane="bottomLeft" activeCell="A6" sqref="A6"/>
      <selection pane="topRight" activeCell="I1" sqref="I1"/>
    </sheetView>
  </sheetViews>
  <sheetFormatPr defaultColWidth="8.7109375" defaultRowHeight="14.45"/>
  <cols>
    <col min="1" max="1" width="4.42578125" style="545" customWidth="1"/>
    <col min="2" max="2" width="37.85546875" style="545" customWidth="1"/>
    <col min="3" max="3" width="13.5703125" style="545" customWidth="1"/>
    <col min="4" max="4" width="13.85546875" style="545" customWidth="1"/>
    <col min="5" max="5" width="8.7109375" style="545"/>
    <col min="6" max="6" width="2.5703125" style="545" customWidth="1"/>
    <col min="7" max="7" width="3.42578125" style="547" customWidth="1"/>
    <col min="8" max="8" width="5.85546875" style="545" customWidth="1"/>
    <col min="9" max="9" width="28.5703125" style="545" customWidth="1"/>
    <col min="10" max="10" width="27.5703125" style="545" customWidth="1"/>
    <col min="11" max="11" width="24.28515625" style="545" customWidth="1"/>
    <col min="12" max="12" width="22.85546875" style="545" customWidth="1"/>
    <col min="13" max="13" width="18.42578125" style="545" customWidth="1"/>
    <col min="14" max="14" width="16.7109375" style="545" customWidth="1"/>
    <col min="15" max="15" width="3.42578125" style="547" customWidth="1"/>
    <col min="16" max="16" width="8.7109375" style="545"/>
    <col min="17" max="17" width="16.5703125" style="545" customWidth="1"/>
    <col min="18" max="18" width="37.42578125" style="545" customWidth="1"/>
    <col min="19" max="19" width="26.5703125" style="545" customWidth="1"/>
    <col min="20" max="20" width="24.85546875" style="545" customWidth="1"/>
    <col min="21" max="21" width="8.7109375" style="545"/>
    <col min="22" max="22" width="5.140625" style="545" customWidth="1"/>
    <col min="23" max="23" width="4.140625" style="547" customWidth="1"/>
    <col min="24" max="24" width="4.85546875" style="545" customWidth="1"/>
    <col min="25" max="25" width="54.42578125" style="545" customWidth="1"/>
    <col min="26" max="26" width="16.5703125" style="545" customWidth="1"/>
    <col min="27" max="27" width="20.140625" style="545" customWidth="1"/>
    <col min="28" max="16384" width="8.7109375" style="545"/>
  </cols>
  <sheetData>
    <row r="1" spans="2:28" ht="15" thickBot="1"/>
    <row r="2" spans="2:28" ht="23.45">
      <c r="B2" s="1576" t="s">
        <v>611</v>
      </c>
      <c r="C2" s="1611"/>
      <c r="D2" s="1611"/>
      <c r="E2" s="1577"/>
      <c r="I2" s="1558" t="s">
        <v>612</v>
      </c>
      <c r="J2" s="1559"/>
      <c r="K2" s="1560"/>
      <c r="Q2" s="1576" t="s">
        <v>613</v>
      </c>
      <c r="R2" s="1577"/>
      <c r="Y2" s="1576" t="s">
        <v>614</v>
      </c>
      <c r="Z2" s="1577"/>
    </row>
    <row r="3" spans="2:28" ht="14.45" customHeight="1">
      <c r="B3" s="1222" t="s">
        <v>615</v>
      </c>
      <c r="C3" s="1223"/>
      <c r="D3" s="1223"/>
      <c r="E3" s="1224"/>
      <c r="I3" s="1225" t="s">
        <v>616</v>
      </c>
      <c r="J3" s="1226"/>
      <c r="K3" s="1227"/>
      <c r="Q3" s="1222" t="s">
        <v>617</v>
      </c>
      <c r="R3" s="1224"/>
      <c r="Y3" s="1222" t="s">
        <v>618</v>
      </c>
      <c r="Z3" s="1224"/>
    </row>
    <row r="4" spans="2:28" ht="27" customHeight="1" thickBot="1">
      <c r="B4" s="1228"/>
      <c r="C4" s="1229"/>
      <c r="D4" s="1229"/>
      <c r="E4" s="1230"/>
      <c r="I4" s="1228"/>
      <c r="J4" s="1229"/>
      <c r="K4" s="1230"/>
      <c r="Q4" s="1228"/>
      <c r="R4" s="1230"/>
      <c r="Y4" s="1228"/>
      <c r="Z4" s="1230"/>
    </row>
    <row r="6" spans="2:28" ht="15" thickBot="1"/>
    <row r="7" spans="2:28" ht="15" thickBot="1">
      <c r="B7" s="1573" t="s">
        <v>619</v>
      </c>
      <c r="C7" s="1575"/>
      <c r="I7" s="1561" t="s">
        <v>620</v>
      </c>
      <c r="J7" s="1562"/>
      <c r="K7" s="1563"/>
      <c r="Q7" s="1555" t="s">
        <v>621</v>
      </c>
      <c r="R7" s="1556"/>
      <c r="S7" s="1556"/>
      <c r="T7" s="1557"/>
      <c r="Y7" s="1584" t="s">
        <v>622</v>
      </c>
      <c r="Z7" s="1585"/>
      <c r="AA7" s="1585"/>
      <c r="AB7" s="1586"/>
    </row>
    <row r="8" spans="2:28" ht="28.5" customHeight="1" thickBot="1">
      <c r="B8" s="581" t="s">
        <v>623</v>
      </c>
      <c r="C8" s="936">
        <f>IFERROR(D17, "")</f>
        <v>0</v>
      </c>
      <c r="I8" s="1170" t="s">
        <v>624</v>
      </c>
      <c r="J8" s="1171"/>
      <c r="K8" s="1172"/>
      <c r="Q8" s="1564" t="s">
        <v>625</v>
      </c>
      <c r="R8" s="1565"/>
      <c r="S8" s="1565"/>
      <c r="T8" s="1566"/>
      <c r="Y8" s="1599" t="s">
        <v>626</v>
      </c>
      <c r="Z8" s="1600"/>
      <c r="AA8" s="1600"/>
      <c r="AB8" s="1601"/>
    </row>
    <row r="9" spans="2:28" ht="15" thickBot="1">
      <c r="B9" s="836" t="s">
        <v>627</v>
      </c>
      <c r="C9" s="937">
        <f>IFERROR(C22, "")</f>
        <v>0</v>
      </c>
      <c r="I9" s="1593" t="s">
        <v>628</v>
      </c>
      <c r="J9" s="1594"/>
      <c r="K9" s="1595"/>
      <c r="Q9" s="892" t="s">
        <v>629</v>
      </c>
      <c r="R9" s="893" t="s">
        <v>630</v>
      </c>
      <c r="S9" s="894" t="s">
        <v>631</v>
      </c>
      <c r="T9" s="895" t="s">
        <v>632</v>
      </c>
      <c r="Y9" s="1602"/>
      <c r="Z9" s="1603"/>
      <c r="AA9" s="1603"/>
      <c r="AB9" s="1604"/>
    </row>
    <row r="10" spans="2:28" ht="15" thickBot="1">
      <c r="B10" s="900" t="s">
        <v>633</v>
      </c>
      <c r="C10" s="938">
        <f>IFERROR(C8-C9, "")</f>
        <v>0</v>
      </c>
      <c r="I10" s="901" t="s">
        <v>634</v>
      </c>
      <c r="J10" s="598" t="s">
        <v>635</v>
      </c>
      <c r="K10" s="599" t="s">
        <v>636</v>
      </c>
      <c r="Q10" s="896" t="s">
        <v>592</v>
      </c>
      <c r="R10" s="897"/>
      <c r="S10" s="898"/>
      <c r="T10" s="899"/>
      <c r="Y10" s="650"/>
      <c r="Z10" s="905" t="s">
        <v>637</v>
      </c>
      <c r="AA10" s="906" t="s">
        <v>638</v>
      </c>
      <c r="AB10" s="907" t="s">
        <v>639</v>
      </c>
    </row>
    <row r="11" spans="2:28" ht="15" thickBot="1">
      <c r="I11" s="908"/>
      <c r="J11" s="750"/>
      <c r="K11" s="820"/>
      <c r="Q11" s="902" t="s">
        <v>593</v>
      </c>
      <c r="R11" s="903"/>
      <c r="S11" s="904"/>
      <c r="T11" s="568"/>
      <c r="Y11" s="581" t="s">
        <v>640</v>
      </c>
      <c r="Z11" s="811"/>
      <c r="AA11" s="911"/>
      <c r="AB11" s="940">
        <f>AA11*Z11</f>
        <v>0</v>
      </c>
    </row>
    <row r="12" spans="2:28" ht="15" customHeight="1" thickBot="1">
      <c r="B12" s="1573" t="s">
        <v>641</v>
      </c>
      <c r="C12" s="1574"/>
      <c r="D12" s="1575"/>
      <c r="Q12" s="909" t="s">
        <v>594</v>
      </c>
      <c r="R12" s="910"/>
      <c r="S12" s="628"/>
      <c r="T12" s="629"/>
      <c r="Y12" s="912" t="s">
        <v>642</v>
      </c>
      <c r="Z12" s="811"/>
      <c r="AA12" s="616"/>
      <c r="AB12" s="960">
        <f>AA12*Z12</f>
        <v>0</v>
      </c>
    </row>
    <row r="13" spans="2:28" ht="15" thickBot="1">
      <c r="B13" s="581"/>
      <c r="C13" s="598" t="s">
        <v>85</v>
      </c>
      <c r="D13" s="599" t="s">
        <v>86</v>
      </c>
      <c r="I13" s="1591" t="s">
        <v>643</v>
      </c>
      <c r="J13" s="1592"/>
      <c r="Q13"/>
      <c r="R13"/>
      <c r="S13"/>
      <c r="T13"/>
      <c r="Y13" s="581" t="s">
        <v>644</v>
      </c>
      <c r="Z13" s="811"/>
      <c r="AA13" s="618"/>
      <c r="AB13" s="961">
        <f t="shared" ref="AB13:AB19" si="0">AA13*Z13</f>
        <v>0</v>
      </c>
    </row>
    <row r="14" spans="2:28" ht="15" customHeight="1" thickBot="1">
      <c r="B14" s="581" t="s">
        <v>645</v>
      </c>
      <c r="C14" s="939" t="str">
        <f>IFERROR(Results!AI8, "$0")</f>
        <v>$0</v>
      </c>
      <c r="D14" s="940">
        <f>IFERROR(Results!AJ8, 0)</f>
        <v>0</v>
      </c>
      <c r="I14" s="1589" t="s">
        <v>646</v>
      </c>
      <c r="J14" s="1590"/>
      <c r="Q14" s="1570" t="s">
        <v>647</v>
      </c>
      <c r="R14" s="1571"/>
      <c r="S14" s="1572"/>
      <c r="T14"/>
      <c r="Y14" s="581" t="s">
        <v>648</v>
      </c>
      <c r="Z14" s="811"/>
      <c r="AA14" s="746"/>
      <c r="AB14" s="961">
        <f t="shared" si="0"/>
        <v>0</v>
      </c>
    </row>
    <row r="15" spans="2:28" ht="15" thickBot="1">
      <c r="B15" s="581" t="s">
        <v>649</v>
      </c>
      <c r="C15" s="939">
        <f>Results!AI9</f>
        <v>0</v>
      </c>
      <c r="D15" s="940">
        <f>Results!AJ9</f>
        <v>0</v>
      </c>
      <c r="I15" s="581"/>
      <c r="J15" s="599" t="s">
        <v>85</v>
      </c>
      <c r="Q15" s="1567" t="s">
        <v>650</v>
      </c>
      <c r="R15" s="1568"/>
      <c r="S15" s="1569"/>
      <c r="Y15" s="581" t="s">
        <v>651</v>
      </c>
      <c r="Z15" s="811"/>
      <c r="AA15" s="618"/>
      <c r="AB15" s="961">
        <f t="shared" si="0"/>
        <v>0</v>
      </c>
    </row>
    <row r="16" spans="2:28" ht="15" thickBot="1">
      <c r="B16" s="836" t="s">
        <v>575</v>
      </c>
      <c r="C16" s="941">
        <f>SUM(C14:C15)</f>
        <v>0</v>
      </c>
      <c r="D16" s="942">
        <f>SUM(D14:D15)</f>
        <v>0</v>
      </c>
      <c r="I16" s="679" t="s">
        <v>652</v>
      </c>
      <c r="J16" s="915"/>
      <c r="Q16" s="892" t="s">
        <v>629</v>
      </c>
      <c r="R16" s="894" t="s">
        <v>631</v>
      </c>
      <c r="S16" s="895" t="s">
        <v>632</v>
      </c>
      <c r="Y16" s="581" t="s">
        <v>653</v>
      </c>
      <c r="Z16" s="811"/>
      <c r="AA16" s="618"/>
      <c r="AB16" s="961">
        <f t="shared" si="0"/>
        <v>0</v>
      </c>
    </row>
    <row r="17" spans="2:28" ht="17.45" customHeight="1" thickBot="1">
      <c r="B17" s="900" t="s">
        <v>654</v>
      </c>
      <c r="C17" s="1085"/>
      <c r="D17" s="938">
        <f>D16-C16</f>
        <v>0</v>
      </c>
      <c r="Q17" s="896" t="s">
        <v>655</v>
      </c>
      <c r="R17" s="898"/>
      <c r="S17" s="899"/>
      <c r="Y17" s="836" t="s">
        <v>656</v>
      </c>
      <c r="Z17" s="811"/>
      <c r="AA17" s="746"/>
      <c r="AB17" s="961">
        <f t="shared" si="0"/>
        <v>0</v>
      </c>
    </row>
    <row r="18" spans="2:28" ht="15" thickBot="1">
      <c r="C18" s="686"/>
      <c r="D18" s="686"/>
      <c r="I18" s="1561" t="s">
        <v>620</v>
      </c>
      <c r="J18" s="1562"/>
      <c r="K18" s="1562"/>
      <c r="L18" s="1562"/>
      <c r="M18" s="1563"/>
      <c r="Q18" s="913" t="s">
        <v>657</v>
      </c>
      <c r="R18" s="914"/>
      <c r="S18" s="563"/>
      <c r="Y18" s="581" t="s">
        <v>658</v>
      </c>
      <c r="Z18" s="811"/>
      <c r="AA18" s="618"/>
      <c r="AB18" s="961">
        <f t="shared" si="0"/>
        <v>0</v>
      </c>
    </row>
    <row r="19" spans="2:28" ht="17.45" customHeight="1" thickBot="1">
      <c r="B19" s="1573" t="s">
        <v>659</v>
      </c>
      <c r="C19" s="1575"/>
      <c r="D19" s="686"/>
      <c r="I19" s="1277" t="s">
        <v>660</v>
      </c>
      <c r="J19" s="1278"/>
      <c r="K19" s="1278"/>
      <c r="L19" s="1278"/>
      <c r="M19" s="1279"/>
      <c r="Y19" s="919" t="s">
        <v>661</v>
      </c>
      <c r="Z19" s="750"/>
      <c r="AA19" s="606"/>
      <c r="AB19" s="962">
        <f t="shared" si="0"/>
        <v>0</v>
      </c>
    </row>
    <row r="20" spans="2:28" ht="16.5" customHeight="1" thickBot="1">
      <c r="B20" s="920" t="s">
        <v>662</v>
      </c>
      <c r="C20" s="943">
        <f>J42</f>
        <v>0</v>
      </c>
      <c r="D20" s="686"/>
      <c r="I20" s="581"/>
      <c r="J20" s="598" t="s">
        <v>634</v>
      </c>
      <c r="K20" s="598" t="s">
        <v>635</v>
      </c>
      <c r="L20" s="598" t="s">
        <v>636</v>
      </c>
      <c r="M20" s="599" t="s">
        <v>105</v>
      </c>
      <c r="Q20" s="1555" t="s">
        <v>663</v>
      </c>
      <c r="R20" s="1556"/>
      <c r="S20" s="1556"/>
      <c r="T20" s="1557"/>
    </row>
    <row r="21" spans="2:28" ht="15" thickBot="1">
      <c r="B21" s="922" t="s">
        <v>664</v>
      </c>
      <c r="C21" s="944">
        <f>IFERROR(SUM(T28, T33:T37, AB11:AB19), 0)</f>
        <v>0</v>
      </c>
      <c r="D21" s="686"/>
      <c r="I21" s="651" t="s">
        <v>82</v>
      </c>
      <c r="J21" s="618"/>
      <c r="K21" s="618"/>
      <c r="L21" s="618"/>
      <c r="M21" s="946">
        <f>SUM(J21:L21)</f>
        <v>0</v>
      </c>
      <c r="Q21" s="917" t="s">
        <v>629</v>
      </c>
      <c r="R21" s="917" t="s">
        <v>665</v>
      </c>
      <c r="S21" s="917" t="s">
        <v>666</v>
      </c>
      <c r="T21" s="918" t="s">
        <v>667</v>
      </c>
    </row>
    <row r="22" spans="2:28" ht="15" thickBot="1">
      <c r="B22" s="922" t="s">
        <v>668</v>
      </c>
      <c r="C22" s="945">
        <f>SUM(C20:C21)</f>
        <v>0</v>
      </c>
      <c r="D22" s="686"/>
      <c r="I22" s="923" t="s">
        <v>669</v>
      </c>
      <c r="J22" s="941">
        <f>(J21)*(J16*'Levers Analysis'!C5)*I11</f>
        <v>0</v>
      </c>
      <c r="K22" s="941">
        <f>(K21)*(J16*'Levers Analysis'!C5)*J11</f>
        <v>0</v>
      </c>
      <c r="L22" s="941">
        <f>(L21)*(J16*'Levers Analysis'!C5)*K11</f>
        <v>0</v>
      </c>
      <c r="M22" s="942">
        <f>SUM(J22:L22)</f>
        <v>0</v>
      </c>
      <c r="Q22" s="896" t="s">
        <v>592</v>
      </c>
      <c r="R22" s="898"/>
      <c r="S22" s="898"/>
      <c r="T22" s="899"/>
      <c r="U22" s="686"/>
    </row>
    <row r="23" spans="2:28" ht="29.45" customHeight="1" thickBot="1">
      <c r="I23" s="924" t="s">
        <v>670</v>
      </c>
      <c r="J23" s="939">
        <f>0.9*J22</f>
        <v>0</v>
      </c>
      <c r="K23" s="939">
        <f t="shared" ref="K23:M23" si="1">0.9*K22</f>
        <v>0</v>
      </c>
      <c r="L23" s="939">
        <f t="shared" si="1"/>
        <v>0</v>
      </c>
      <c r="M23" s="940">
        <f t="shared" si="1"/>
        <v>0</v>
      </c>
      <c r="Q23" s="921" t="s">
        <v>593</v>
      </c>
      <c r="R23" s="904"/>
      <c r="S23" s="904"/>
      <c r="T23" s="568"/>
      <c r="U23" s="686"/>
    </row>
    <row r="24" spans="2:28" ht="30.6" customHeight="1" thickBot="1">
      <c r="B24" s="1578" t="str">
        <f>IF(C10&gt;0, "After accounting for potential savings from the options on the right, your new compensation system costs more than your current system.", "After accounting for potential savings from the options on the right, you have balanced the cost of your new compensation system.")</f>
        <v>After accounting for potential savings from the options on the right, you have balanced the cost of your new compensation system.</v>
      </c>
      <c r="C24" s="1579"/>
      <c r="D24" s="1579"/>
      <c r="E24" s="1580"/>
      <c r="I24" s="627" t="s">
        <v>671</v>
      </c>
      <c r="J24" s="947">
        <f>0.1*J22</f>
        <v>0</v>
      </c>
      <c r="K24" s="947">
        <f t="shared" ref="K24:M24" si="2">0.1*K22</f>
        <v>0</v>
      </c>
      <c r="L24" s="947">
        <f t="shared" si="2"/>
        <v>0</v>
      </c>
      <c r="M24" s="944">
        <f t="shared" si="2"/>
        <v>0</v>
      </c>
      <c r="Q24" s="909" t="s">
        <v>594</v>
      </c>
      <c r="R24" s="628"/>
      <c r="S24" s="628"/>
      <c r="T24" s="629"/>
      <c r="U24" s="686"/>
    </row>
    <row r="25" spans="2:28" ht="15" thickBot="1">
      <c r="B25" s="1581"/>
      <c r="C25" s="1582"/>
      <c r="D25" s="1582"/>
      <c r="E25" s="1583"/>
    </row>
    <row r="26" spans="2:28" ht="29.45" customHeight="1" thickBot="1">
      <c r="B26" s="928"/>
      <c r="C26" s="928"/>
      <c r="D26" s="928"/>
      <c r="E26" s="928"/>
      <c r="I26" s="1587" t="s">
        <v>672</v>
      </c>
      <c r="J26" s="1588"/>
      <c r="K26" s="1084">
        <f>M22</f>
        <v>0</v>
      </c>
      <c r="Q26" s="1596" t="s">
        <v>673</v>
      </c>
      <c r="R26" s="1597"/>
      <c r="S26" s="1597"/>
      <c r="T26" s="1598"/>
    </row>
    <row r="27" spans="2:28" ht="14.1" customHeight="1" thickBot="1">
      <c r="B27" s="928"/>
      <c r="C27" s="928"/>
      <c r="D27" s="928"/>
      <c r="E27" s="928"/>
      <c r="Q27" s="925"/>
      <c r="R27" s="892" t="s">
        <v>674</v>
      </c>
      <c r="S27" s="892" t="s">
        <v>675</v>
      </c>
      <c r="T27" s="926" t="s">
        <v>639</v>
      </c>
    </row>
    <row r="28" spans="2:28" ht="15" thickBot="1">
      <c r="I28" s="1618" t="s">
        <v>643</v>
      </c>
      <c r="J28" s="1619"/>
      <c r="K28" s="1620"/>
      <c r="Q28" s="927" t="s">
        <v>676</v>
      </c>
      <c r="R28" s="954">
        <f>IF(INSTRUCTIONS!$Q$7="Basic",'Basic - Teachers'!K10,SUM('Advanced - Teachers'!K21:K51))</f>
        <v>0</v>
      </c>
      <c r="S28" s="955">
        <f>IFERROR(SUM('Levers Analysis'!J8:L8, 'Levers Analysis'!J15:L15), 0)</f>
        <v>0</v>
      </c>
      <c r="T28" s="956">
        <f>IFERROR('Levers Analysis'!J19-'Levers Analysis'!J20, )</f>
        <v>0</v>
      </c>
      <c r="Y28" s="929"/>
    </row>
    <row r="29" spans="2:28" ht="18.95" customHeight="1" thickBot="1">
      <c r="I29" s="1140" t="s">
        <v>677</v>
      </c>
      <c r="J29" s="1365"/>
      <c r="K29" s="1366"/>
      <c r="X29" s="930"/>
    </row>
    <row r="30" spans="2:28" ht="15.95" customHeight="1" thickBot="1">
      <c r="I30" s="1145"/>
      <c r="J30" s="1146"/>
      <c r="K30" s="1147"/>
      <c r="Q30" s="1605" t="s">
        <v>678</v>
      </c>
      <c r="R30" s="1606"/>
      <c r="S30" s="1606"/>
      <c r="T30" s="1607"/>
    </row>
    <row r="31" spans="2:28" ht="39.6" customHeight="1">
      <c r="I31" s="581"/>
      <c r="J31" s="931" t="s">
        <v>85</v>
      </c>
      <c r="K31" s="599" t="s">
        <v>86</v>
      </c>
      <c r="Q31" s="1608" t="s">
        <v>679</v>
      </c>
      <c r="R31" s="1609"/>
      <c r="S31" s="1609"/>
      <c r="T31" s="1610"/>
    </row>
    <row r="32" spans="2:28" ht="15" customHeight="1">
      <c r="I32" s="885" t="s">
        <v>652</v>
      </c>
      <c r="J32" s="948">
        <f>J16</f>
        <v>0</v>
      </c>
      <c r="K32" s="932"/>
      <c r="Q32" s="901" t="s">
        <v>142</v>
      </c>
      <c r="R32" s="598" t="s">
        <v>680</v>
      </c>
      <c r="S32" s="626" t="s">
        <v>681</v>
      </c>
      <c r="T32" s="599" t="s">
        <v>639</v>
      </c>
    </row>
    <row r="33" spans="2:25" ht="15" thickBot="1">
      <c r="I33" s="679" t="s">
        <v>682</v>
      </c>
      <c r="J33" s="949">
        <f>K26</f>
        <v>0</v>
      </c>
      <c r="K33" s="950">
        <f>SUM((J21*(K32*'Levers Analysis'!C5)*I11), (K21*(K32*'Levers Analysis'!C5)*J11), (L21*(K32*'Levers Analysis'!C5)*K11))</f>
        <v>0</v>
      </c>
      <c r="Q33" s="958">
        <f>IF(INSTRUCTIONS!$Q$7="Basic", 'Basic - Teachers'!J71, 'Advanced - Teachers'!J99)</f>
        <v>0</v>
      </c>
      <c r="R33" s="957">
        <f>IF(INSTRUCTIONS!$Q$7="Basic", 'Basic - Teachers'!M71-'Basic - Teachers'!K71, 'Advanced - Teachers'!M99-'Advanced - Teachers'!K99)</f>
        <v>0</v>
      </c>
      <c r="S33" s="616"/>
      <c r="T33" s="952">
        <f>IFERROR('Levers Analysis'!C36*('Levers Analysis'!D36-'Levers Analysis'!E36), 0)</f>
        <v>0</v>
      </c>
      <c r="Y33" s="933"/>
    </row>
    <row r="34" spans="2:25" ht="14.45" customHeight="1" thickBot="1">
      <c r="B34" s="665"/>
      <c r="I34" s="713"/>
      <c r="J34" s="686"/>
      <c r="K34" s="686"/>
      <c r="Q34" s="958">
        <f>IF(INSTRUCTIONS!$Q$7="Basic", 'Basic - Teachers'!J72, 'Advanced - Teachers'!J100)</f>
        <v>0</v>
      </c>
      <c r="R34" s="957">
        <f>IF(INSTRUCTIONS!$Q$7="Basic", 'Basic - Teachers'!M72-'Basic - Teachers'!K72, 'Advanced - Teachers'!M100-'Advanced - Teachers'!K100)</f>
        <v>0</v>
      </c>
      <c r="S34" s="618"/>
      <c r="T34" s="952">
        <f>IFERROR('Levers Analysis'!C37*('Levers Analysis'!D37-'Levers Analysis'!E37), 0)</f>
        <v>0</v>
      </c>
      <c r="Y34" s="933"/>
    </row>
    <row r="35" spans="2:25" ht="15" thickBot="1">
      <c r="I35" s="900" t="s">
        <v>683</v>
      </c>
      <c r="J35" s="916"/>
      <c r="K35" s="951">
        <f>K33-J33</f>
        <v>0</v>
      </c>
      <c r="L35" s="709" t="s">
        <v>684</v>
      </c>
      <c r="Q35" s="958">
        <f>IF(INSTRUCTIONS!$Q$7="Basic", 'Basic - Teachers'!J73, 'Advanced - Teachers'!J101)</f>
        <v>0</v>
      </c>
      <c r="R35" s="957">
        <f>IF(INSTRUCTIONS!$Q$7="Basic", 'Basic - Teachers'!M73-'Basic - Teachers'!K73, 'Advanced - Teachers'!M101-'Advanced - Teachers'!K101)</f>
        <v>0</v>
      </c>
      <c r="S35" s="746"/>
      <c r="T35" s="952">
        <f>IFERROR('Levers Analysis'!C38*('Levers Analysis'!D38-'Levers Analysis'!E38), 0)</f>
        <v>0</v>
      </c>
      <c r="Y35" s="933"/>
    </row>
    <row r="36" spans="2:25" ht="19.5" customHeight="1" thickBot="1">
      <c r="Q36" s="958">
        <f>IF(INSTRUCTIONS!$Q$7="Basic", 'Basic - Teachers'!J74, 'Advanced - Teachers'!J102)</f>
        <v>0</v>
      </c>
      <c r="R36" s="957">
        <f>IF(INSTRUCTIONS!$Q$7="Basic", 'Basic - Teachers'!M74-'Basic - Teachers'!K74, 'Advanced - Teachers'!M102-'Advanced - Teachers'!K102)</f>
        <v>0</v>
      </c>
      <c r="S36" s="618"/>
      <c r="T36" s="952">
        <f>IFERROR('Levers Analysis'!C39*('Levers Analysis'!D39-'Levers Analysis'!E39), 0)</f>
        <v>0</v>
      </c>
      <c r="Y36" s="933"/>
    </row>
    <row r="37" spans="2:25" ht="15" thickBot="1">
      <c r="I37" s="1561" t="s">
        <v>685</v>
      </c>
      <c r="J37" s="1562"/>
      <c r="K37" s="1562"/>
      <c r="L37" s="1563"/>
      <c r="Q37" s="959">
        <f>IF(INSTRUCTIONS!$Q$7="Basic", 'Basic - Teachers'!J75, 'Advanced - Teachers'!J103)</f>
        <v>0</v>
      </c>
      <c r="R37" s="955">
        <f>IF(INSTRUCTIONS!$Q$7="Basic", 'Basic - Teachers'!M75-'Basic - Teachers'!K75, 'Advanced - Teachers'!M103-'Advanced - Teachers'!K103)</f>
        <v>0</v>
      </c>
      <c r="S37" s="606"/>
      <c r="T37" s="956">
        <f>IFERROR('Levers Analysis'!C40*('Levers Analysis'!D40-'Levers Analysis'!E40), 0)</f>
        <v>0</v>
      </c>
      <c r="Y37" s="933"/>
    </row>
    <row r="38" spans="2:25" ht="14.45" customHeight="1">
      <c r="I38" s="1621" t="s">
        <v>686</v>
      </c>
      <c r="J38" s="1622"/>
      <c r="K38" s="1622"/>
      <c r="L38" s="1623"/>
      <c r="O38" s="934"/>
      <c r="Y38" s="933"/>
    </row>
    <row r="39" spans="2:25">
      <c r="I39" s="1608"/>
      <c r="J39" s="1609"/>
      <c r="K39" s="1609"/>
      <c r="L39" s="1610"/>
      <c r="O39" s="934"/>
      <c r="Y39" s="933"/>
    </row>
    <row r="40" spans="2:25" ht="29.1">
      <c r="I40" s="581"/>
      <c r="J40" s="626" t="s">
        <v>687</v>
      </c>
      <c r="K40" s="626" t="s">
        <v>688</v>
      </c>
      <c r="L40" s="935" t="s">
        <v>689</v>
      </c>
    </row>
    <row r="41" spans="2:25">
      <c r="I41" s="651" t="s">
        <v>690</v>
      </c>
      <c r="J41" s="618"/>
      <c r="K41" s="618"/>
      <c r="L41" s="567"/>
      <c r="M41" s="289" t="str">
        <f>IF(SUM(J41:L41)&lt;&gt;1,"Total percentage must equal 100%.","")</f>
        <v>Total percentage must equal 100%.</v>
      </c>
    </row>
    <row r="42" spans="2:25" ht="29.45" thickBot="1">
      <c r="I42" s="627" t="s">
        <v>691</v>
      </c>
      <c r="J42" s="947">
        <f>J41*K33</f>
        <v>0</v>
      </c>
      <c r="K42" s="947">
        <f>K41*K33</f>
        <v>0</v>
      </c>
      <c r="L42" s="944">
        <f>L41*K33</f>
        <v>0</v>
      </c>
    </row>
    <row r="44" spans="2:25" ht="15" customHeight="1" thickBot="1"/>
    <row r="45" spans="2:25" ht="15" thickBot="1">
      <c r="I45" s="1561" t="s">
        <v>692</v>
      </c>
      <c r="J45" s="1563"/>
      <c r="L45" s="1561" t="s">
        <v>692</v>
      </c>
      <c r="M45" s="1563"/>
    </row>
    <row r="46" spans="2:25">
      <c r="I46" s="1140" t="s">
        <v>693</v>
      </c>
      <c r="J46" s="1366"/>
      <c r="L46" s="912" t="s">
        <v>694</v>
      </c>
      <c r="M46" s="952">
        <f>J54</f>
        <v>0</v>
      </c>
    </row>
    <row r="47" spans="2:25">
      <c r="I47" s="1140"/>
      <c r="J47" s="1366"/>
      <c r="L47" s="581" t="s">
        <v>695</v>
      </c>
      <c r="M47" s="940">
        <f>J42</f>
        <v>0</v>
      </c>
    </row>
    <row r="48" spans="2:25" ht="15" thickBot="1">
      <c r="I48" s="1140"/>
      <c r="J48" s="1366"/>
      <c r="L48" s="919" t="s">
        <v>440</v>
      </c>
      <c r="M48" s="953">
        <f>M47-M46</f>
        <v>0</v>
      </c>
    </row>
    <row r="49" spans="9:14" ht="15" thickBot="1">
      <c r="I49" s="1140"/>
      <c r="J49" s="1366"/>
    </row>
    <row r="50" spans="9:14">
      <c r="I50" s="1140"/>
      <c r="J50" s="1366"/>
      <c r="L50" s="1612" t="str">
        <f>IF(M48&gt;0,"You still have TIA funds left to spend on teachers. Revisit your input selections to increase your TIA-eligible spending.","Your TIA-eligible spending exceeds your estimated allotment. Use the savings levers to the right to repurpose additional funding to cover this difference.")</f>
        <v>Your TIA-eligible spending exceeds your estimated allotment. Use the savings levers to the right to repurpose additional funding to cover this difference.</v>
      </c>
      <c r="M50" s="1613"/>
    </row>
    <row r="51" spans="9:14">
      <c r="I51" s="581" t="s">
        <v>101</v>
      </c>
      <c r="J51" s="940">
        <f>IFERROR(Results!$E$34, )</f>
        <v>0</v>
      </c>
      <c r="L51" s="1614"/>
      <c r="M51" s="1615"/>
      <c r="N51" s="550"/>
    </row>
    <row r="52" spans="9:14">
      <c r="I52" s="581" t="s">
        <v>336</v>
      </c>
      <c r="J52" s="940">
        <f>'Chart Tables'!D8</f>
        <v>0</v>
      </c>
      <c r="L52" s="1614"/>
      <c r="M52" s="1615"/>
      <c r="N52" s="550"/>
    </row>
    <row r="53" spans="9:14" ht="15" thickBot="1">
      <c r="I53" s="581" t="s">
        <v>94</v>
      </c>
      <c r="J53" s="940">
        <f>'Chart Tables'!D7</f>
        <v>0</v>
      </c>
      <c r="L53" s="1616"/>
      <c r="M53" s="1617"/>
    </row>
    <row r="54" spans="9:14" ht="15" thickBot="1">
      <c r="I54" s="919" t="s">
        <v>105</v>
      </c>
      <c r="J54" s="944">
        <f>SUM(J51:J53)</f>
        <v>0</v>
      </c>
      <c r="L54" s="669"/>
      <c r="M54" s="669"/>
    </row>
    <row r="55" spans="9:14">
      <c r="J55" s="686"/>
      <c r="L55" s="669"/>
      <c r="M55" s="669"/>
    </row>
  </sheetData>
  <sheetProtection algorithmName="SHA-512" hashValue="8FZDRiqIQ8gOrxKihFjxKjFkpwNHmHeewhffFAMWDHqhW0Xq5D7NCfVt/wqI893fb2WHs1ZrZmAPhFKMy8W6/A==" saltValue="wpWvpFN8/7knZXX0kSwoXQ==" spinCount="100000" sheet="1" objects="1" scenarios="1"/>
  <mergeCells count="38">
    <mergeCell ref="I46:J50"/>
    <mergeCell ref="L50:M53"/>
    <mergeCell ref="I28:K28"/>
    <mergeCell ref="I29:K30"/>
    <mergeCell ref="I19:M19"/>
    <mergeCell ref="I38:L39"/>
    <mergeCell ref="I37:L37"/>
    <mergeCell ref="B24:E25"/>
    <mergeCell ref="L45:M45"/>
    <mergeCell ref="I45:J45"/>
    <mergeCell ref="Y2:Z2"/>
    <mergeCell ref="Y3:Z4"/>
    <mergeCell ref="Y7:AB7"/>
    <mergeCell ref="I18:M18"/>
    <mergeCell ref="I26:J26"/>
    <mergeCell ref="I14:J14"/>
    <mergeCell ref="I13:J13"/>
    <mergeCell ref="I9:K9"/>
    <mergeCell ref="Q26:T26"/>
    <mergeCell ref="Y8:AB9"/>
    <mergeCell ref="Q30:T30"/>
    <mergeCell ref="Q31:T31"/>
    <mergeCell ref="B2:E2"/>
    <mergeCell ref="B3:E4"/>
    <mergeCell ref="B12:D12"/>
    <mergeCell ref="B19:C19"/>
    <mergeCell ref="B7:C7"/>
    <mergeCell ref="Q2:R2"/>
    <mergeCell ref="Q3:R4"/>
    <mergeCell ref="Q7:T7"/>
    <mergeCell ref="Q20:T20"/>
    <mergeCell ref="I2:K2"/>
    <mergeCell ref="I3:K4"/>
    <mergeCell ref="I7:K7"/>
    <mergeCell ref="I8:K8"/>
    <mergeCell ref="Q8:T8"/>
    <mergeCell ref="Q15:S15"/>
    <mergeCell ref="Q14:S14"/>
  </mergeCells>
  <conditionalFormatting sqref="B24 B26:E27">
    <cfRule type="expression" dxfId="13" priority="7">
      <formula>"After accounting for potential savings from the options on the right, your new compensation system costs more than your current system."</formula>
    </cfRule>
  </conditionalFormatting>
  <conditionalFormatting sqref="C8">
    <cfRule type="cellIs" dxfId="12" priority="15" operator="equal">
      <formula>0</formula>
    </cfRule>
    <cfRule type="cellIs" dxfId="11" priority="16" operator="lessThan">
      <formula>0</formula>
    </cfRule>
    <cfRule type="cellIs" dxfId="10" priority="17" operator="greaterThan">
      <formula>0</formula>
    </cfRule>
  </conditionalFormatting>
  <conditionalFormatting sqref="C9">
    <cfRule type="cellIs" dxfId="9" priority="10" operator="greaterThan">
      <formula>0</formula>
    </cfRule>
  </conditionalFormatting>
  <conditionalFormatting sqref="C10">
    <cfRule type="cellIs" dxfId="8" priority="18" operator="equal">
      <formula>0</formula>
    </cfRule>
    <cfRule type="cellIs" dxfId="7" priority="19" operator="lessThan">
      <formula>0</formula>
    </cfRule>
    <cfRule type="cellIs" dxfId="6" priority="20" operator="greaterThan">
      <formula>0</formula>
    </cfRule>
  </conditionalFormatting>
  <conditionalFormatting sqref="C22">
    <cfRule type="cellIs" dxfId="5" priority="11" operator="lessThan">
      <formula>0</formula>
    </cfRule>
    <cfRule type="cellIs" dxfId="4" priority="12" operator="greaterThan">
      <formula>0</formula>
    </cfRule>
  </conditionalFormatting>
  <conditionalFormatting sqref="D17:D18">
    <cfRule type="cellIs" dxfId="3" priority="13" operator="lessThan">
      <formula>0</formula>
    </cfRule>
    <cfRule type="cellIs" dxfId="2" priority="14" operator="greaterThan">
      <formula>0</formula>
    </cfRule>
  </conditionalFormatting>
  <conditionalFormatting sqref="M48">
    <cfRule type="cellIs" dxfId="1" priority="5" operator="lessThan">
      <formula>0</formula>
    </cfRule>
    <cfRule type="cellIs" dxfId="0" priority="6" operator="greaterThan">
      <formula>0</formula>
    </cfRule>
  </conditionalFormatting>
  <dataValidations count="6">
    <dataValidation allowBlank="1" showInputMessage="1" showErrorMessage="1" prompt="Any savings calculations from changes in class size are based on the assumption that actual class sizes are almost always the maximum class size. If most classrooms in your district fall below the maximum class size, this model will overestimate savings." sqref="T10" xr:uid="{05F9BE9F-2C71-4B78-95E4-3F6A01850848}"/>
    <dataValidation allowBlank="1" showInputMessage="1" showErrorMessage="1" prompt="The roles listed here are pulled from the roles entered on the teacher inputs tabs. Use the teacher inputs tab to add or remove roles." sqref="Q33" xr:uid="{E06231D3-78D1-4154-BE57-8C17EEC44825}"/>
    <dataValidation allowBlank="1" showInputMessage="1" showErrorMessage="1" prompt="You must enter a value equal to or greater than your current percentage of eligible FTE." sqref="K32" xr:uid="{ACCF27D3-423D-4120-A38E-22BF745D55E2}"/>
    <dataValidation allowBlank="1" showInputMessage="1" showErrorMessage="1" prompt="These percentages should be the percent of your total teacher FTE with each designation." sqref="J21 K21 L21" xr:uid="{AB155EA7-34A2-4AAD-94CC-FF10822210D0}"/>
    <dataValidation allowBlank="1" showInputMessage="1" showErrorMessage="1" prompt="Enter the % of positions listed to the left in column R that you would like to convert." sqref="S33" xr:uid="{2FDF73C8-B0E4-4A68-8D70-7618064B2951}"/>
    <dataValidation allowBlank="1" showInputMessage="1" showErrorMessage="1" prompt="Enter your current average class size for core classes only. The ability to change elective class size is included in the section below." sqref="S11:S12" xr:uid="{722C682A-B7CA-48DD-957B-CACED2A14CF4}"/>
  </dataValidations>
  <hyperlinks>
    <hyperlink ref="I9:K9" r:id="rId1" display="Find average allotments for your district here." xr:uid="{AE72B0A9-8A67-45FD-AE45-DF066989034E}"/>
  </hyperlink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prompt="Select a value between 0 and 100%" xr:uid="{B6C54090-BE5E-4607-BEF8-67C36375A5D2}">
          <x14:formula1>
            <xm:f>'Levers Analysis'!$P$4:$P$104</xm:f>
          </x14:formula1>
          <xm:sqref>J41:K41</xm:sqref>
        </x14:dataValidation>
        <x14:dataValidation type="list" allowBlank="1" showInputMessage="1" showErrorMessage="1" prompt="Select a value between 0 and 10%" xr:uid="{9D4980F1-6582-4C6B-94DF-B4C4C7FD8027}">
          <x14:formula1>
            <xm:f>'Levers Analysis'!$P$4:$P$14</xm:f>
          </x14:formula1>
          <xm:sqref>L41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1F1E0-CA10-44F3-8C99-B319F0B90157}">
  <sheetPr codeName="Sheet14">
    <tabColor theme="8"/>
  </sheetPr>
  <dimension ref="A1:AW75"/>
  <sheetViews>
    <sheetView topLeftCell="A27" zoomScaleNormal="100" workbookViewId="0">
      <selection activeCell="G6" sqref="G6"/>
    </sheetView>
  </sheetViews>
  <sheetFormatPr defaultColWidth="8.7109375" defaultRowHeight="14.45"/>
  <cols>
    <col min="1" max="1" width="4.28515625" style="963" customWidth="1"/>
    <col min="2" max="2" width="19.5703125" style="963" customWidth="1"/>
    <col min="3" max="3" width="10.28515625" style="963" customWidth="1"/>
    <col min="4" max="4" width="12.140625" style="963" customWidth="1"/>
    <col min="5" max="5" width="11.28515625" style="963" customWidth="1"/>
    <col min="6" max="6" width="12.42578125" style="963" customWidth="1"/>
    <col min="7" max="7" width="8.7109375" style="963"/>
    <col min="8" max="8" width="9.85546875" style="963" customWidth="1"/>
    <col min="9" max="9" width="11.85546875" style="963" customWidth="1"/>
    <col min="10" max="11" width="11.42578125" style="963" customWidth="1"/>
    <col min="12" max="12" width="11.7109375" style="963" customWidth="1"/>
    <col min="13" max="13" width="11.5703125" style="963" customWidth="1"/>
    <col min="14" max="14" width="12.140625" style="963" customWidth="1"/>
    <col min="15" max="15" width="8.7109375" style="963"/>
    <col min="16" max="16" width="8.7109375" style="547"/>
    <col min="17" max="17" width="4.5703125" style="963" customWidth="1"/>
    <col min="18" max="18" width="14.5703125" style="963" customWidth="1"/>
    <col min="19" max="19" width="8.7109375" style="963"/>
    <col min="20" max="20" width="11.85546875" style="963" customWidth="1"/>
    <col min="21" max="21" width="10.5703125" style="963" customWidth="1"/>
    <col min="22" max="22" width="12.7109375" style="963" customWidth="1"/>
    <col min="23" max="23" width="8.7109375" style="963"/>
    <col min="24" max="24" width="9.7109375" style="963" customWidth="1"/>
    <col min="25" max="25" width="11.85546875" style="963" customWidth="1"/>
    <col min="26" max="26" width="12.5703125" style="963" customWidth="1"/>
    <col min="27" max="28" width="12.28515625" style="963" customWidth="1"/>
    <col min="29" max="29" width="12.7109375" style="963" customWidth="1"/>
    <col min="30" max="30" width="12.42578125" style="963" customWidth="1"/>
    <col min="31" max="31" width="8.7109375" style="963"/>
    <col min="32" max="32" width="8.7109375" style="965"/>
    <col min="33" max="33" width="5" style="966" customWidth="1"/>
    <col min="34" max="34" width="20.5703125" style="966" customWidth="1"/>
    <col min="35" max="35" width="14.85546875" style="966" customWidth="1"/>
    <col min="36" max="36" width="18.140625" style="966" customWidth="1"/>
    <col min="37" max="37" width="11.85546875" style="966" customWidth="1"/>
    <col min="38" max="38" width="8.7109375" style="966" customWidth="1"/>
    <col min="39" max="39" width="10.28515625" style="966" customWidth="1"/>
    <col min="40" max="40" width="11.5703125" style="966" customWidth="1"/>
    <col min="41" max="42" width="13.42578125" style="966" bestFit="1" customWidth="1"/>
    <col min="43" max="43" width="11.42578125" style="966" customWidth="1"/>
    <col min="44" max="44" width="13.42578125" style="966" bestFit="1" customWidth="1"/>
    <col min="45" max="45" width="12" style="966" customWidth="1"/>
    <col min="46" max="46" width="5.42578125" style="966" customWidth="1"/>
    <col min="47" max="47" width="8.7109375" style="547"/>
    <col min="48" max="49" width="8.7109375" style="966"/>
    <col min="50" max="16384" width="8.7109375" style="545"/>
  </cols>
  <sheetData>
    <row r="1" spans="2:46" ht="18.600000000000001">
      <c r="B1" s="964" t="s">
        <v>696</v>
      </c>
      <c r="R1" s="964" t="s">
        <v>697</v>
      </c>
      <c r="AH1" s="967" t="s">
        <v>698</v>
      </c>
    </row>
    <row r="2" spans="2:46" ht="18.95" thickBot="1">
      <c r="B2" s="964"/>
      <c r="R2" s="964"/>
      <c r="AG2" s="967"/>
    </row>
    <row r="3" spans="2:46" ht="18.95" thickBot="1">
      <c r="B3" s="1644" t="s">
        <v>699</v>
      </c>
      <c r="C3" s="1645"/>
      <c r="D3" s="1645"/>
      <c r="E3" s="1645"/>
      <c r="F3" s="1646"/>
      <c r="R3" s="1644" t="s">
        <v>699</v>
      </c>
      <c r="S3" s="1645"/>
      <c r="T3" s="1645"/>
      <c r="U3" s="1645"/>
      <c r="V3" s="1646"/>
      <c r="X3" s="964"/>
    </row>
    <row r="4" spans="2:46" ht="19.5" customHeight="1" thickBot="1">
      <c r="B4" s="1647" t="s">
        <v>700</v>
      </c>
      <c r="C4" s="1648"/>
      <c r="D4" s="1648"/>
      <c r="E4" s="1648"/>
      <c r="F4" s="1649"/>
      <c r="R4" s="1647" t="s">
        <v>701</v>
      </c>
      <c r="S4" s="1648"/>
      <c r="T4" s="1648"/>
      <c r="U4" s="1648"/>
      <c r="V4" s="1649"/>
      <c r="X4" s="964"/>
    </row>
    <row r="5" spans="2:46" ht="36.6" customHeight="1" thickBot="1">
      <c r="B5" s="1650"/>
      <c r="C5" s="1651"/>
      <c r="D5" s="1651"/>
      <c r="E5" s="1651"/>
      <c r="F5" s="1652"/>
      <c r="R5" s="1650"/>
      <c r="S5" s="1651"/>
      <c r="T5" s="1651"/>
      <c r="U5" s="1651"/>
      <c r="V5" s="1652"/>
      <c r="X5" s="964"/>
      <c r="AH5" s="1654" t="s">
        <v>702</v>
      </c>
      <c r="AI5" s="1655"/>
      <c r="AJ5" s="1656"/>
    </row>
    <row r="6" spans="2:46" ht="24.95" customHeight="1" thickBot="1">
      <c r="B6" s="968"/>
      <c r="C6" s="1574" t="s">
        <v>85</v>
      </c>
      <c r="D6" s="1574"/>
      <c r="E6" s="1574" t="s">
        <v>86</v>
      </c>
      <c r="F6" s="1575"/>
      <c r="R6" s="968"/>
      <c r="S6" s="1574" t="s">
        <v>85</v>
      </c>
      <c r="T6" s="1574"/>
      <c r="U6" s="1574" t="s">
        <v>86</v>
      </c>
      <c r="V6" s="1575"/>
      <c r="X6" s="964"/>
      <c r="AH6" s="1657" t="s">
        <v>81</v>
      </c>
      <c r="AI6" s="1658"/>
      <c r="AJ6" s="1659"/>
    </row>
    <row r="7" spans="2:46" ht="30.6" thickBot="1">
      <c r="B7" s="1671" t="s">
        <v>703</v>
      </c>
      <c r="C7" s="1672"/>
      <c r="D7" s="1672"/>
      <c r="E7" s="1672"/>
      <c r="F7" s="1673"/>
      <c r="R7" s="1671" t="s">
        <v>703</v>
      </c>
      <c r="S7" s="1672"/>
      <c r="T7" s="1672"/>
      <c r="U7" s="1672"/>
      <c r="V7" s="1673"/>
      <c r="X7" s="964"/>
      <c r="AH7" s="969" t="s">
        <v>84</v>
      </c>
      <c r="AI7" s="970" t="s">
        <v>85</v>
      </c>
      <c r="AJ7" s="971" t="s">
        <v>86</v>
      </c>
    </row>
    <row r="8" spans="2:46" ht="28.5" customHeight="1">
      <c r="B8" s="972" t="s">
        <v>704</v>
      </c>
      <c r="C8" s="1674">
        <f>D47</f>
        <v>0</v>
      </c>
      <c r="D8" s="1674"/>
      <c r="E8" s="1675">
        <f>F47</f>
        <v>0</v>
      </c>
      <c r="F8" s="1676"/>
      <c r="R8" s="972" t="s">
        <v>705</v>
      </c>
      <c r="S8" s="1674">
        <f>AVERAGE(T40,T43)</f>
        <v>0</v>
      </c>
      <c r="T8" s="1674"/>
      <c r="U8" s="1675">
        <f>AVERAGE(V40, V43)</f>
        <v>0</v>
      </c>
      <c r="V8" s="1676"/>
      <c r="X8" s="964"/>
      <c r="AH8" s="973" t="s">
        <v>706</v>
      </c>
      <c r="AI8" s="1014" t="str">
        <f>IFERROR('Chart Tables'!$X$12, "$0")</f>
        <v>$0</v>
      </c>
      <c r="AJ8" s="1015">
        <f>IFERROR('Chart Tables'!$Y$12, 0)</f>
        <v>0</v>
      </c>
    </row>
    <row r="9" spans="2:46" ht="39.6" thickBot="1">
      <c r="B9" s="974" t="s">
        <v>707</v>
      </c>
      <c r="C9" s="1678">
        <f>IFERROR(IF(INSTRUCTIONS!Q7="Basic", 'Basic Teacher Analysis'!M87/'Basic Teacher Analysis'!M93, 'Advanced Teacher Analysis'!P67/'Advanced Teacher Analysis'!P76), 0)</f>
        <v>0</v>
      </c>
      <c r="D9" s="1678"/>
      <c r="E9" s="1678">
        <f>IFERROR(IF(INSTRUCTIONS!Q7="Basic", 'Basic Teacher Analysis'!N87/'Basic Teacher Analysis'!N93, 'Advanced Teacher Analysis'!Q67/'Advanced Teacher Analysis'!Q76), 0)</f>
        <v>0</v>
      </c>
      <c r="F9" s="1679"/>
      <c r="R9" s="974" t="s">
        <v>708</v>
      </c>
      <c r="S9" s="1678">
        <f>IFERROR(S28/S30, 0)</f>
        <v>0</v>
      </c>
      <c r="T9" s="1678"/>
      <c r="U9" s="1678">
        <f>IFERROR(U28/U30, 0)</f>
        <v>0</v>
      </c>
      <c r="V9" s="1679"/>
      <c r="X9" s="964"/>
      <c r="AH9" s="642" t="s">
        <v>709</v>
      </c>
      <c r="AI9" s="1014">
        <f>IFERROR('Chart Tables'!$X$13, "$0")</f>
        <v>0</v>
      </c>
      <c r="AJ9" s="1015">
        <f>'Chart Tables'!$Y$13</f>
        <v>0</v>
      </c>
    </row>
    <row r="10" spans="2:46" ht="18.95" thickBot="1">
      <c r="B10" s="1682" t="s">
        <v>710</v>
      </c>
      <c r="C10" s="1683"/>
      <c r="D10" s="1683"/>
      <c r="E10" s="1683"/>
      <c r="F10" s="1684"/>
      <c r="R10" s="1682" t="s">
        <v>710</v>
      </c>
      <c r="S10" s="1683"/>
      <c r="T10" s="1683"/>
      <c r="U10" s="1683"/>
      <c r="V10" s="1684"/>
      <c r="X10" s="964"/>
      <c r="AH10" s="975" t="s">
        <v>105</v>
      </c>
      <c r="AI10" s="1016" t="str">
        <f>IFERROR('Chart Tables'!$X$14, "$0")</f>
        <v>$0</v>
      </c>
      <c r="AJ10" s="1017">
        <f>IFERROR('Chart Tables'!$Y$14, 0)</f>
        <v>0</v>
      </c>
    </row>
    <row r="11" spans="2:46" ht="18.95" thickBot="1">
      <c r="B11" s="976" t="s">
        <v>704</v>
      </c>
      <c r="C11" s="1675">
        <f>D44</f>
        <v>0</v>
      </c>
      <c r="D11" s="1675"/>
      <c r="E11" s="1675">
        <f>F44</f>
        <v>0</v>
      </c>
      <c r="F11" s="1676"/>
      <c r="R11" s="976" t="s">
        <v>705</v>
      </c>
      <c r="S11" s="1675">
        <f>AVERAGE(T39, T42)</f>
        <v>0</v>
      </c>
      <c r="T11" s="1675"/>
      <c r="U11" s="1675">
        <f>AVERAGE(V39, V42)</f>
        <v>0</v>
      </c>
      <c r="V11" s="1676"/>
      <c r="X11" s="964"/>
    </row>
    <row r="12" spans="2:46" ht="39.6" thickBot="1">
      <c r="B12" s="974" t="s">
        <v>707</v>
      </c>
      <c r="C12" s="1678">
        <f>IFERROR(IF(INSTRUCTIONS!Q7="Basic", 'Basic Teacher Analysis'!M63/'Basic Teacher Analysis'!M93, 'Advanced Teacher Analysis'!P42/'Advanced Teacher Analysis'!P76), 0)</f>
        <v>0</v>
      </c>
      <c r="D12" s="1678"/>
      <c r="E12" s="1678">
        <f>IFERROR(IF(INSTRUCTIONS!Q7="Basic", 'Basic Teacher Analysis'!N63/'Basic Teacher Analysis'!N93, 'Advanced Teacher Analysis'!Q42/'Advanced Teacher Analysis'!Q76), 0)</f>
        <v>0</v>
      </c>
      <c r="F12" s="1679"/>
      <c r="R12" s="977" t="s">
        <v>708</v>
      </c>
      <c r="S12" s="1691">
        <f>IFERROR(S27/S30, 0)</f>
        <v>0</v>
      </c>
      <c r="T12" s="1691"/>
      <c r="U12" s="1691">
        <f>IFERROR(U27/U30, 0)</f>
        <v>0</v>
      </c>
      <c r="V12" s="1692"/>
      <c r="X12" s="964"/>
      <c r="AH12" s="1663" t="s">
        <v>66</v>
      </c>
      <c r="AI12" s="1664"/>
      <c r="AJ12" s="1665"/>
    </row>
    <row r="13" spans="2:46" ht="31.5" customHeight="1" thickBot="1">
      <c r="B13" s="1685" t="s">
        <v>711</v>
      </c>
      <c r="C13" s="1686"/>
      <c r="D13" s="1686"/>
      <c r="E13" s="1686"/>
      <c r="F13" s="1687"/>
      <c r="X13" s="964"/>
      <c r="AH13" s="1666" t="s">
        <v>68</v>
      </c>
      <c r="AI13" s="1667"/>
      <c r="AJ13" s="1668"/>
    </row>
    <row r="14" spans="2:46" ht="16.5" customHeight="1" thickBot="1">
      <c r="B14" s="976" t="s">
        <v>704</v>
      </c>
      <c r="C14" s="1674">
        <f>IFERROR(IF(INSTRUCTIONS!Q7="Basic", AVERAGEIF('Basic - Teachers'!L23:L24, "&gt;0", 'Basic - Teachers'!L23:L24), AVERAGEIF('Advanced - Teachers'!L62:L63, "&gt;0", 'Advanced - Teachers'!L62:L63)), 0)</f>
        <v>0</v>
      </c>
      <c r="D14" s="1674"/>
      <c r="E14" s="1674">
        <f>IFERROR(IF(INSTRUCTIONS!S7="Basic", AVERAGEIF('Basic - Teachers'!M23:M24, "&gt;0", 'Basic - Teachers'!M23:M24), AVERAGEIF('Advanced - Teachers'!M62:M63, "&gt;0", 'Advanced - Teachers'!M62:M63)), 0)</f>
        <v>0</v>
      </c>
      <c r="F14" s="1680"/>
      <c r="H14" s="1624" t="s">
        <v>712</v>
      </c>
      <c r="I14" s="1625"/>
      <c r="J14" s="1625"/>
      <c r="K14" s="1625"/>
      <c r="L14" s="1625"/>
      <c r="M14" s="1625"/>
      <c r="N14" s="1626"/>
      <c r="O14" s="978"/>
      <c r="X14" s="1624" t="s">
        <v>713</v>
      </c>
      <c r="Y14" s="1625"/>
      <c r="Z14" s="1625"/>
      <c r="AA14" s="1625"/>
      <c r="AB14" s="1625"/>
      <c r="AC14" s="1625"/>
      <c r="AD14" s="1626"/>
      <c r="AE14" s="978"/>
      <c r="AH14" s="979" t="s">
        <v>71</v>
      </c>
      <c r="AI14" s="980" t="s">
        <v>72</v>
      </c>
      <c r="AJ14" s="981" t="s">
        <v>73</v>
      </c>
    </row>
    <row r="15" spans="2:46" ht="27" customHeight="1" thickBot="1">
      <c r="B15" s="974" t="s">
        <v>707</v>
      </c>
      <c r="C15" s="1678">
        <f>IFERROR(IF(INSTRUCTIONS!Q7="Basic", 'Basic Teacher Analysis'!M48/'Basic Teacher Analysis'!M93, 'Advanced Teacher Analysis'!P17/'Advanced Teacher Analysis'!P76), 0)</f>
        <v>0</v>
      </c>
      <c r="D15" s="1678"/>
      <c r="E15" s="1678">
        <f>IFERROR(IF(INSTRUCTIONS!Q7="Basic", 'Basic Teacher Analysis'!N48/'Basic Teacher Analysis'!N93, 'Advanced Teacher Analysis'!Q17/'Advanced Teacher Analysis'!Q76), 0)</f>
        <v>0</v>
      </c>
      <c r="F15" s="1679"/>
      <c r="H15" s="1627"/>
      <c r="I15" s="1628"/>
      <c r="J15" s="1628"/>
      <c r="K15" s="1628"/>
      <c r="L15" s="1628"/>
      <c r="M15" s="1628"/>
      <c r="N15" s="1629"/>
      <c r="O15" s="978"/>
      <c r="X15" s="1627"/>
      <c r="Y15" s="1628"/>
      <c r="Z15" s="1628"/>
      <c r="AA15" s="1628"/>
      <c r="AB15" s="1628"/>
      <c r="AC15" s="1628"/>
      <c r="AD15" s="1629"/>
      <c r="AE15" s="978"/>
      <c r="AH15" s="1018">
        <f>'Tradeoff Levers'!D17</f>
        <v>0</v>
      </c>
      <c r="AI15" s="1016">
        <f>'Tradeoff Levers'!C22</f>
        <v>0</v>
      </c>
      <c r="AJ15" s="1017">
        <f>AH15-AI15</f>
        <v>0</v>
      </c>
      <c r="AM15" s="1630" t="s">
        <v>714</v>
      </c>
      <c r="AN15" s="1631"/>
      <c r="AO15" s="1631"/>
      <c r="AP15" s="1631"/>
      <c r="AQ15" s="1631"/>
      <c r="AR15" s="1632"/>
      <c r="AS15" s="982"/>
      <c r="AT15" s="982"/>
    </row>
    <row r="16" spans="2:46" ht="20.45" customHeight="1" thickBot="1">
      <c r="B16" s="1688" t="s">
        <v>715</v>
      </c>
      <c r="C16" s="1689"/>
      <c r="D16" s="1689"/>
      <c r="E16" s="1689"/>
      <c r="F16" s="1690"/>
      <c r="R16" s="1166" t="s">
        <v>66</v>
      </c>
      <c r="S16" s="1210"/>
      <c r="T16" s="1210"/>
      <c r="U16" s="1210"/>
      <c r="V16" s="1211"/>
      <c r="X16" s="964"/>
    </row>
    <row r="17" spans="2:46" ht="38.1" customHeight="1" thickBot="1">
      <c r="B17" s="983" t="s">
        <v>716</v>
      </c>
      <c r="C17" s="1677" t="str">
        <f>IFERROR(IF(INSTRUCTIONS!Q7="Basic", ('Basic Teacher Analysis'!R10-'Basic Teacher Analysis'!R5)+'Basic Teacher Analysis'!E36, ('Advanced Teacher Analysis'!E11-'Advanced Teacher Analysis'!E6)+'Advanced Teacher Analysis'!E57), "$0")</f>
        <v>$0</v>
      </c>
      <c r="D17" s="1677"/>
      <c r="E17" s="1677">
        <f>IFERROR(IF(INSTRUCTIONS!Q7="Basic", ('Basic Teacher Analysis'!S10-'Basic Teacher Analysis'!S5)+'Basic Teacher Analysis'!F36, ('Advanced Teacher Analysis'!E102-'Advanced Teacher Analysis'!E97)+'Advanced Teacher Analysis'!F57), 0)</f>
        <v>0</v>
      </c>
      <c r="F17" s="1681"/>
      <c r="R17" s="1164" t="s">
        <v>68</v>
      </c>
      <c r="S17" s="1206"/>
      <c r="T17" s="1207"/>
      <c r="U17" s="1208"/>
      <c r="V17" s="1209"/>
      <c r="AH17" s="1430" t="s">
        <v>126</v>
      </c>
      <c r="AI17" s="1431"/>
      <c r="AJ17" s="1431"/>
      <c r="AK17" s="1432"/>
      <c r="AL17" s="984"/>
    </row>
    <row r="18" spans="2:46" ht="23.45" customHeight="1" thickBot="1">
      <c r="B18" s="964"/>
      <c r="R18" s="1292" t="s">
        <v>71</v>
      </c>
      <c r="S18" s="1293"/>
      <c r="T18" s="1200" t="s">
        <v>72</v>
      </c>
      <c r="U18" s="1293"/>
      <c r="V18" s="782" t="s">
        <v>73</v>
      </c>
      <c r="AH18" s="1235" t="s">
        <v>717</v>
      </c>
      <c r="AI18" s="1236"/>
      <c r="AJ18" s="1236"/>
      <c r="AK18" s="1237"/>
      <c r="AL18" s="985"/>
    </row>
    <row r="19" spans="2:46" ht="15" thickBot="1">
      <c r="B19" s="1166" t="s">
        <v>66</v>
      </c>
      <c r="C19" s="1210"/>
      <c r="D19" s="1210"/>
      <c r="E19" s="1210"/>
      <c r="F19" s="1211"/>
      <c r="R19" s="1669">
        <f>'Tradeoff Levers'!D17</f>
        <v>0</v>
      </c>
      <c r="S19" s="1670"/>
      <c r="T19" s="1638">
        <f>'Tradeoff Levers'!C22</f>
        <v>0</v>
      </c>
      <c r="U19" s="1639"/>
      <c r="V19" s="829">
        <f>R19-T19</f>
        <v>0</v>
      </c>
      <c r="AH19" s="1238"/>
      <c r="AI19" s="1239"/>
      <c r="AJ19" s="1239"/>
      <c r="AK19" s="1240"/>
      <c r="AL19" s="987"/>
    </row>
    <row r="20" spans="2:46" ht="29.1" customHeight="1" thickBot="1">
      <c r="B20" s="1164" t="s">
        <v>68</v>
      </c>
      <c r="C20" s="1206"/>
      <c r="D20" s="1207"/>
      <c r="E20" s="1208"/>
      <c r="F20" s="1209"/>
      <c r="R20" s="1633" t="s">
        <v>718</v>
      </c>
      <c r="S20" s="1634"/>
      <c r="T20" s="1634"/>
      <c r="U20" s="1634"/>
      <c r="V20" s="655">
        <f>'Tradeoff Levers'!D15-'Tradeoff Levers'!C15</f>
        <v>0</v>
      </c>
      <c r="AH20" s="1241"/>
      <c r="AI20" s="1242"/>
      <c r="AJ20" s="1242"/>
      <c r="AK20" s="1243"/>
    </row>
    <row r="21" spans="2:46" ht="14.45" customHeight="1">
      <c r="B21" s="1212" t="s">
        <v>71</v>
      </c>
      <c r="C21" s="1205"/>
      <c r="D21" s="1204" t="s">
        <v>72</v>
      </c>
      <c r="E21" s="1205"/>
      <c r="F21" s="561" t="s">
        <v>73</v>
      </c>
      <c r="R21" s="704"/>
      <c r="S21" s="704"/>
      <c r="T21" s="988"/>
      <c r="U21" s="988"/>
      <c r="V21" s="989"/>
      <c r="AH21" s="1433"/>
      <c r="AI21" s="1251"/>
      <c r="AJ21" s="612" t="s">
        <v>85</v>
      </c>
      <c r="AK21" s="986" t="s">
        <v>86</v>
      </c>
      <c r="AL21" s="990"/>
      <c r="AM21" s="990"/>
    </row>
    <row r="22" spans="2:46" ht="26.45" customHeight="1" thickBot="1">
      <c r="B22" s="1640">
        <f>'Tradeoff Levers'!D17</f>
        <v>0</v>
      </c>
      <c r="C22" s="1641"/>
      <c r="D22" s="1642">
        <f>'Tradeoff Levers'!C22</f>
        <v>0</v>
      </c>
      <c r="E22" s="1643"/>
      <c r="F22" s="771">
        <f>B22-D22</f>
        <v>0</v>
      </c>
      <c r="AH22" s="1700" t="s">
        <v>719</v>
      </c>
      <c r="AI22" s="1699"/>
      <c r="AJ22" s="1019">
        <f>IFERROR(('Chart Tables'!$X$23-'Chart Tables'!$X$18)/'Chart Tables'!$X$18, 0)</f>
        <v>0</v>
      </c>
      <c r="AK22" s="1020">
        <f>IFERROR(('Chart Tables'!$Y$23-'Chart Tables'!$Y$18)/'Chart Tables'!$Y$18, 0)</f>
        <v>0</v>
      </c>
      <c r="AL22" s="991"/>
      <c r="AM22" s="991"/>
    </row>
    <row r="23" spans="2:46" ht="26.45" customHeight="1" thickBot="1">
      <c r="B23" s="1697" t="s">
        <v>107</v>
      </c>
      <c r="C23" s="1698"/>
      <c r="D23" s="1698"/>
      <c r="E23" s="1698"/>
      <c r="F23" s="772">
        <f>'Tradeoff Levers'!D14-'Tradeoff Levers'!C14</f>
        <v>0</v>
      </c>
      <c r="R23" s="1334" t="s">
        <v>221</v>
      </c>
      <c r="S23" s="1335"/>
      <c r="T23" s="1335"/>
      <c r="U23" s="1335"/>
      <c r="V23" s="1335"/>
      <c r="AH23" s="1701" t="s">
        <v>500</v>
      </c>
      <c r="AI23" s="1702"/>
      <c r="AJ23" s="1021" t="str">
        <f>IFERROR('Chart Tables'!$X$23-'Chart Tables'!$X$18, "$0")</f>
        <v>$0</v>
      </c>
      <c r="AK23" s="1022">
        <f>IFERROR('Chart Tables'!$Y$23-'Chart Tables'!$Y$18, 0)</f>
        <v>0</v>
      </c>
    </row>
    <row r="24" spans="2:46" ht="30.6" customHeight="1" thickBot="1">
      <c r="R24" s="1336" t="s">
        <v>81</v>
      </c>
      <c r="S24" s="1337"/>
      <c r="T24" s="1337"/>
      <c r="U24" s="1337"/>
      <c r="V24" s="1338"/>
      <c r="AH24" s="1693" t="s">
        <v>134</v>
      </c>
      <c r="AI24" s="1694"/>
      <c r="AJ24" s="1695">
        <f>AK23-AJ23</f>
        <v>0</v>
      </c>
      <c r="AK24" s="1696"/>
    </row>
    <row r="25" spans="2:46" ht="29.1" customHeight="1" thickBot="1">
      <c r="B25" s="1334" t="s">
        <v>720</v>
      </c>
      <c r="C25" s="1335"/>
      <c r="D25" s="1335"/>
      <c r="E25" s="1335"/>
      <c r="F25" s="1335"/>
      <c r="R25" s="857" t="s">
        <v>84</v>
      </c>
      <c r="S25" s="1199" t="s">
        <v>85</v>
      </c>
      <c r="T25" s="1341"/>
      <c r="U25" s="1200" t="s">
        <v>86</v>
      </c>
      <c r="V25" s="1293"/>
    </row>
    <row r="26" spans="2:46">
      <c r="B26" s="1336" t="s">
        <v>81</v>
      </c>
      <c r="C26" s="1337"/>
      <c r="D26" s="1337"/>
      <c r="E26" s="1337"/>
      <c r="F26" s="1338"/>
      <c r="R26" s="634" t="s">
        <v>227</v>
      </c>
      <c r="S26" s="1135">
        <f>'Chart Tables'!L4</f>
        <v>0</v>
      </c>
      <c r="T26" s="1135"/>
      <c r="U26" s="1135">
        <f>'Chart Tables'!M4</f>
        <v>0</v>
      </c>
      <c r="V26" s="1135"/>
    </row>
    <row r="27" spans="2:46" ht="29.1" customHeight="1" thickBot="1">
      <c r="B27" s="857" t="s">
        <v>84</v>
      </c>
      <c r="C27" s="1199" t="s">
        <v>85</v>
      </c>
      <c r="D27" s="1341"/>
      <c r="E27" s="1200" t="s">
        <v>86</v>
      </c>
      <c r="F27" s="1293"/>
      <c r="R27" s="634" t="s">
        <v>97</v>
      </c>
      <c r="S27" s="1135">
        <f>'Chart Tables'!L5</f>
        <v>0</v>
      </c>
      <c r="T27" s="1135"/>
      <c r="U27" s="1135">
        <f>'Chart Tables'!M5</f>
        <v>0</v>
      </c>
      <c r="V27" s="1135"/>
      <c r="AK27" s="1023"/>
    </row>
    <row r="28" spans="2:46" ht="30.6" customHeight="1" thickBot="1">
      <c r="B28" s="634" t="s">
        <v>89</v>
      </c>
      <c r="C28" s="1135">
        <f>'Chart Tables'!C4</f>
        <v>0</v>
      </c>
      <c r="D28" s="1135"/>
      <c r="E28" s="1135">
        <f>'Chart Tables'!D4</f>
        <v>0</v>
      </c>
      <c r="F28" s="1135"/>
      <c r="H28" s="1624" t="s">
        <v>721</v>
      </c>
      <c r="I28" s="1625"/>
      <c r="J28" s="1625"/>
      <c r="K28" s="1625"/>
      <c r="L28" s="1625"/>
      <c r="M28" s="1625"/>
      <c r="N28" s="1626"/>
      <c r="O28" s="978"/>
      <c r="R28" s="634" t="s">
        <v>101</v>
      </c>
      <c r="S28" s="1135">
        <f>'Chart Tables'!L6</f>
        <v>0</v>
      </c>
      <c r="T28" s="1135"/>
      <c r="U28" s="1135">
        <f>'Chart Tables'!M6</f>
        <v>0</v>
      </c>
      <c r="V28" s="1135"/>
      <c r="X28" s="1635" t="s">
        <v>722</v>
      </c>
      <c r="Y28" s="1636"/>
      <c r="Z28" s="1636"/>
      <c r="AA28" s="1636"/>
      <c r="AB28" s="1636"/>
      <c r="AC28" s="1636"/>
      <c r="AD28" s="1637"/>
      <c r="AE28" s="978"/>
    </row>
    <row r="29" spans="2:46" ht="24.95" customHeight="1" thickBot="1">
      <c r="B29" s="634" t="s">
        <v>91</v>
      </c>
      <c r="C29" s="1135" t="str">
        <f>IFERROR('Chart Tables'!C5, "$0")</f>
        <v>$0</v>
      </c>
      <c r="D29" s="1135"/>
      <c r="E29" s="1135">
        <f>IFERROR('Chart Tables'!D5, 0)</f>
        <v>0</v>
      </c>
      <c r="F29" s="1135"/>
      <c r="H29" s="1627"/>
      <c r="I29" s="1628"/>
      <c r="J29" s="1628"/>
      <c r="K29" s="1628"/>
      <c r="L29" s="1628"/>
      <c r="M29" s="1628"/>
      <c r="N29" s="1629"/>
      <c r="O29" s="978"/>
      <c r="R29" s="634" t="s">
        <v>103</v>
      </c>
      <c r="S29" s="1135">
        <f>'Chart Tables'!L7</f>
        <v>0</v>
      </c>
      <c r="T29" s="1135"/>
      <c r="U29" s="1135">
        <f>'Chart Tables'!M7</f>
        <v>0</v>
      </c>
      <c r="V29" s="1135"/>
      <c r="X29" s="978"/>
      <c r="Y29" s="978"/>
      <c r="Z29" s="978"/>
      <c r="AA29" s="978"/>
      <c r="AB29" s="978"/>
      <c r="AC29" s="978"/>
      <c r="AD29" s="978"/>
      <c r="AE29" s="978"/>
      <c r="AM29" s="1630" t="s">
        <v>723</v>
      </c>
      <c r="AN29" s="1631"/>
      <c r="AO29" s="1631"/>
      <c r="AP29" s="1631"/>
      <c r="AQ29" s="1631"/>
      <c r="AR29" s="1632"/>
      <c r="AS29" s="982"/>
      <c r="AT29" s="982"/>
    </row>
    <row r="30" spans="2:46" ht="15" thickBot="1">
      <c r="B30" s="634" t="s">
        <v>93</v>
      </c>
      <c r="C30" s="1135">
        <f>'Chart Tables'!C6</f>
        <v>0</v>
      </c>
      <c r="D30" s="1135"/>
      <c r="E30" s="1135">
        <f>'Chart Tables'!D6</f>
        <v>0</v>
      </c>
      <c r="F30" s="1135"/>
      <c r="R30" s="634" t="s">
        <v>105</v>
      </c>
      <c r="S30" s="1135">
        <f>'Chart Tables'!L8</f>
        <v>0</v>
      </c>
      <c r="T30" s="1135"/>
      <c r="U30" s="1135">
        <f>'Chart Tables'!M8</f>
        <v>0</v>
      </c>
      <c r="V30" s="1135"/>
    </row>
    <row r="31" spans="2:46" ht="15" thickBot="1">
      <c r="B31" s="634" t="s">
        <v>94</v>
      </c>
      <c r="C31" s="1135">
        <f>'Chart Tables'!C14</f>
        <v>0</v>
      </c>
      <c r="D31" s="1135"/>
      <c r="E31" s="1135">
        <f>'Chart Tables'!D14</f>
        <v>0</v>
      </c>
      <c r="F31" s="1135"/>
      <c r="AM31" s="992"/>
      <c r="AN31" s="993" t="s">
        <v>261</v>
      </c>
      <c r="AO31" s="993" t="s">
        <v>170</v>
      </c>
      <c r="AP31" s="993" t="s">
        <v>171</v>
      </c>
      <c r="AQ31" s="993" t="s">
        <v>172</v>
      </c>
      <c r="AR31" s="993" t="s">
        <v>173</v>
      </c>
      <c r="AS31" s="994" t="s">
        <v>174</v>
      </c>
    </row>
    <row r="32" spans="2:46" ht="15" thickBot="1">
      <c r="B32" s="634" t="s">
        <v>95</v>
      </c>
      <c r="C32" s="1137">
        <f>'Chart Tables'!C15</f>
        <v>0</v>
      </c>
      <c r="D32" s="1138"/>
      <c r="E32" s="1137">
        <f>'Chart Tables'!D15</f>
        <v>0</v>
      </c>
      <c r="F32" s="1138"/>
      <c r="R32" s="1334" t="s">
        <v>108</v>
      </c>
      <c r="S32" s="1335"/>
      <c r="T32" s="1335"/>
      <c r="U32" s="1335"/>
      <c r="V32" s="1335"/>
      <c r="AM32" s="995" t="s">
        <v>85</v>
      </c>
      <c r="AN32" s="1100" t="str">
        <f>IFERROR('Chart Tables'!X18, "$0")</f>
        <v>$0</v>
      </c>
      <c r="AO32" s="1100" t="str">
        <f>IFERROR('Chart Tables'!X19, "$0")</f>
        <v>$0</v>
      </c>
      <c r="AP32" s="1100" t="str">
        <f>IFERROR('Chart Tables'!X20, "$0")</f>
        <v>$0</v>
      </c>
      <c r="AQ32" s="1100" t="str">
        <f>IFERROR('Chart Tables'!X21, "$0")</f>
        <v>$0</v>
      </c>
      <c r="AR32" s="1100" t="str">
        <f>IFERROR('Chart Tables'!X22, "$0")</f>
        <v>$0</v>
      </c>
      <c r="AS32" s="1101" t="str">
        <f>IFERROR('Chart Tables'!X23, "$0")</f>
        <v>$0</v>
      </c>
    </row>
    <row r="33" spans="2:45" ht="15" thickBot="1">
      <c r="B33" s="634" t="s">
        <v>97</v>
      </c>
      <c r="C33" s="1135">
        <f>'Chart Tables'!C8</f>
        <v>0</v>
      </c>
      <c r="D33" s="1135"/>
      <c r="E33" s="1135">
        <f>'Chart Tables'!D8</f>
        <v>0</v>
      </c>
      <c r="F33" s="1135"/>
      <c r="R33" s="1336" t="s">
        <v>110</v>
      </c>
      <c r="S33" s="1337"/>
      <c r="T33" s="1337"/>
      <c r="U33" s="1337"/>
      <c r="V33" s="1338"/>
      <c r="AM33" s="1003" t="s">
        <v>86</v>
      </c>
      <c r="AN33" s="1007">
        <f>IFERROR('Chart Tables'!Y18, 0)</f>
        <v>0</v>
      </c>
      <c r="AO33" s="1007">
        <f>IFERROR('Chart Tables'!Y19, 0)</f>
        <v>0</v>
      </c>
      <c r="AP33" s="1007">
        <f>IFERROR('Chart Tables'!Y20, 0)</f>
        <v>0</v>
      </c>
      <c r="AQ33" s="1007">
        <f>IFERROR('Chart Tables'!Y21, 0)</f>
        <v>0</v>
      </c>
      <c r="AR33" s="1007">
        <f>IFERROR('Chart Tables'!Y22, 0)</f>
        <v>0</v>
      </c>
      <c r="AS33" s="655">
        <f>IFERROR('Chart Tables'!Y23, 0)</f>
        <v>0</v>
      </c>
    </row>
    <row r="34" spans="2:45" ht="29.45" thickBot="1">
      <c r="B34" s="634" t="s">
        <v>101</v>
      </c>
      <c r="C34" s="1135">
        <f>'Chart Tables'!C9</f>
        <v>0</v>
      </c>
      <c r="D34" s="1135"/>
      <c r="E34" s="1135">
        <f>IFERROR('Chart Tables'!D9, 0)</f>
        <v>0</v>
      </c>
      <c r="F34" s="1135"/>
      <c r="R34" s="802" t="s">
        <v>112</v>
      </c>
      <c r="S34" s="1244" t="s">
        <v>85</v>
      </c>
      <c r="T34" s="1348"/>
      <c r="U34" s="1204" t="s">
        <v>86</v>
      </c>
      <c r="V34" s="1205"/>
      <c r="AM34" s="1059" t="s">
        <v>724</v>
      </c>
      <c r="AN34" s="1060">
        <f>AN33-AN32</f>
        <v>0</v>
      </c>
      <c r="AO34" s="1060">
        <f t="shared" ref="AO34" si="0">AO33-AO32</f>
        <v>0</v>
      </c>
      <c r="AP34" s="1060">
        <f t="shared" ref="AP34" si="1">AP33-AP32</f>
        <v>0</v>
      </c>
      <c r="AQ34" s="1060">
        <f t="shared" ref="AQ34" si="2">AQ33-AQ32</f>
        <v>0</v>
      </c>
      <c r="AR34" s="1060">
        <f t="shared" ref="AR34" si="3">AR33-AR32</f>
        <v>0</v>
      </c>
      <c r="AS34" s="1061">
        <f t="shared" ref="AS34" si="4">AS33-AS32</f>
        <v>0</v>
      </c>
    </row>
    <row r="35" spans="2:45" ht="32.1" customHeight="1" thickBot="1">
      <c r="B35" s="634" t="s">
        <v>103</v>
      </c>
      <c r="C35" s="1135" t="str">
        <f>IFERROR('Chart Tables'!C10, "$0")</f>
        <v>$0</v>
      </c>
      <c r="D35" s="1135"/>
      <c r="E35" s="1135">
        <f>IFERROR('Chart Tables'!D10, 0)</f>
        <v>0</v>
      </c>
      <c r="F35" s="1135"/>
      <c r="R35" s="634" t="s">
        <v>231</v>
      </c>
      <c r="S35" s="1137">
        <f>IFERROR(IF(INSTRUCTIONS!$Q$8="Basic", 'Basic Principal Analysis'!N78, 'Advanced Principal Analysis'!N182), 0)</f>
        <v>0</v>
      </c>
      <c r="T35" s="1138"/>
      <c r="U35" s="1137">
        <f>IFERROR(IF(INSTRUCTIONS!$Q$8="Basic", 'Basic Principal Analysis'!O78, 'Advanced Principal Analysis'!O182), 0)</f>
        <v>0</v>
      </c>
      <c r="V35" s="1138"/>
    </row>
    <row r="36" spans="2:45">
      <c r="B36" s="634" t="s">
        <v>105</v>
      </c>
      <c r="C36" s="1135" t="str">
        <f>IFERROR('Chart Tables'!C11, "$0")</f>
        <v>$0</v>
      </c>
      <c r="D36" s="1135"/>
      <c r="E36" s="1135">
        <f>IFERROR('Chart Tables'!D11, 0)</f>
        <v>0</v>
      </c>
      <c r="F36" s="1135"/>
      <c r="R36" s="634" t="s">
        <v>232</v>
      </c>
      <c r="S36" s="1660">
        <f>IFERROR(IF(INSTRUCTIONS!$Q$8="Basic", 'Basic Principal Analysis'!N81, 'Advanced Principal Analysis'!N185), 0)</f>
        <v>0</v>
      </c>
      <c r="T36" s="1661"/>
      <c r="U36" s="1662">
        <f>IFERROR(IF(INSTRUCTIONS!$Q$8="Basic", 'Basic Principal Analysis'!O81, 'Advanced Principal Analysis'!O185), 0)</f>
        <v>0</v>
      </c>
      <c r="V36" s="1662"/>
      <c r="AM36" s="1711" t="s">
        <v>725</v>
      </c>
      <c r="AN36" s="1712"/>
      <c r="AO36" s="1712"/>
      <c r="AP36" s="1712"/>
      <c r="AQ36" s="1712"/>
      <c r="AR36" s="1712"/>
      <c r="AS36" s="1713"/>
    </row>
    <row r="37" spans="2:45" ht="15" thickBot="1">
      <c r="R37" s="802" t="s">
        <v>116</v>
      </c>
      <c r="S37" s="603" t="s">
        <v>82</v>
      </c>
      <c r="T37" s="603" t="s">
        <v>726</v>
      </c>
      <c r="U37" s="603" t="s">
        <v>82</v>
      </c>
      <c r="V37" s="603" t="s">
        <v>726</v>
      </c>
      <c r="AM37" s="1714"/>
      <c r="AN37" s="1715"/>
      <c r="AO37" s="1715"/>
      <c r="AP37" s="1715"/>
      <c r="AQ37" s="1715"/>
      <c r="AR37" s="1715"/>
      <c r="AS37" s="1716"/>
    </row>
    <row r="38" spans="2:45" ht="15" thickBot="1">
      <c r="B38" s="1334" t="s">
        <v>108</v>
      </c>
      <c r="C38" s="1335"/>
      <c r="D38" s="1335"/>
      <c r="E38" s="1335"/>
      <c r="F38" s="1335"/>
      <c r="R38" s="1653" t="s">
        <v>727</v>
      </c>
      <c r="S38" s="1653"/>
      <c r="T38" s="1653"/>
      <c r="U38" s="1653"/>
      <c r="V38" s="1653"/>
      <c r="W38" s="996"/>
      <c r="AM38" s="1717"/>
      <c r="AN38" s="1718"/>
      <c r="AO38" s="1718"/>
      <c r="AP38" s="1718"/>
      <c r="AQ38" s="1718"/>
      <c r="AR38" s="1718"/>
      <c r="AS38" s="1719"/>
    </row>
    <row r="39" spans="2:45" ht="29.1">
      <c r="B39" s="1336" t="s">
        <v>110</v>
      </c>
      <c r="C39" s="1337"/>
      <c r="D39" s="1337"/>
      <c r="E39" s="1337"/>
      <c r="F39" s="1338"/>
      <c r="R39" s="634" t="s">
        <v>119</v>
      </c>
      <c r="S39" s="656">
        <f>IF(INSTRUCTIONS!$Q$8="Basic", 'Basic - Principals and APs'!C31, 'Advanced - Principals and APs'!C31)</f>
        <v>0</v>
      </c>
      <c r="T39" s="657">
        <f>IF(INSTRUCTIONS!$Q$8="Basic", 'Basic - Principals and APs'!D31, 'Advanced - Principals and APs'!D31)</f>
        <v>0</v>
      </c>
      <c r="U39" s="658">
        <f>IF(INSTRUCTIONS!$Q$8="Basic", 'Basic - Principals and APs'!E31, 'Advanced - Principals and APs'!E31)</f>
        <v>0</v>
      </c>
      <c r="V39" s="657">
        <f>IF(INSTRUCTIONS!$Q$8="Basic", 'Basic - Principals and APs'!F31, 'Advanced - Principals and APs'!F31)</f>
        <v>0</v>
      </c>
    </row>
    <row r="40" spans="2:45" ht="26.1" customHeight="1">
      <c r="B40" s="802" t="s">
        <v>112</v>
      </c>
      <c r="C40" s="1244" t="s">
        <v>85</v>
      </c>
      <c r="D40" s="1348"/>
      <c r="E40" s="1204" t="s">
        <v>86</v>
      </c>
      <c r="F40" s="1205"/>
      <c r="R40" s="634" t="s">
        <v>101</v>
      </c>
      <c r="S40" s="773">
        <f>IF(INSTRUCTIONS!$Q$8="Basic", 'Basic - Principals and APs'!C32, 'Advanced - Principals and APs'!C32)</f>
        <v>0</v>
      </c>
      <c r="T40" s="657">
        <f>IF(INSTRUCTIONS!$Q$8="Basic", 'Basic - Principals and APs'!D32, 'Advanced - Principals and APs'!D32)</f>
        <v>0</v>
      </c>
      <c r="U40" s="774">
        <f>IF(INSTRUCTIONS!$Q$8="Basic", 'Basic - Principals and APs'!E32, 'Advanced - Principals and APs'!E32)</f>
        <v>0</v>
      </c>
      <c r="V40" s="657">
        <f>IF(INSTRUCTIONS!$Q$8="Basic", 'Basic - Principals and APs'!F32, 'Advanced - Principals and APs'!F32)</f>
        <v>0</v>
      </c>
    </row>
    <row r="41" spans="2:45">
      <c r="B41" s="997" t="s">
        <v>89</v>
      </c>
      <c r="C41" s="1247">
        <f>IF(INSTRUCTIONS!$Q$7="Basic", 'Basic Teacher Analysis'!D16, 'Advanced Teacher Analysis'!E6)</f>
        <v>0</v>
      </c>
      <c r="D41" s="1322"/>
      <c r="E41" s="1247">
        <f>IF(INSTRUCTIONS!$Q$7="Basic", 'Basic Teacher Analysis'!S5, 'Advanced Teacher Analysis'!E97)</f>
        <v>0</v>
      </c>
      <c r="F41" s="1322"/>
      <c r="R41" s="1653" t="s">
        <v>728</v>
      </c>
      <c r="S41" s="1653"/>
      <c r="T41" s="1653"/>
      <c r="U41" s="1653"/>
      <c r="V41" s="1653"/>
    </row>
    <row r="42" spans="2:45" ht="29.1">
      <c r="B42" s="634" t="s">
        <v>194</v>
      </c>
      <c r="C42" s="1137">
        <f>IFERROR(IF(INSTRUCTIONS!$Q$7="Basic", 'Basic Teacher Analysis'!M95, 'Advanced Teacher Analysis'!P79), 0)</f>
        <v>0</v>
      </c>
      <c r="D42" s="1138"/>
      <c r="E42" s="1137">
        <f>IFERROR(IF(INSTRUCTIONS!$Q$7="Basic", 'Basic Teacher Analysis'!N95, 'Advanced Teacher Analysis'!Q79), 0)</f>
        <v>0</v>
      </c>
      <c r="F42" s="1138"/>
      <c r="H42" s="998"/>
      <c r="R42" s="634" t="s">
        <v>119</v>
      </c>
      <c r="S42" s="656">
        <f>IF(INSTRUCTIONS!$Q$8="Basic", 'Basic - Principals and APs'!C34, 'Advanced - Principals and APs'!C34)</f>
        <v>0</v>
      </c>
      <c r="T42" s="657">
        <f>IF(INSTRUCTIONS!$Q$8="Basic", 'Basic - Principals and APs'!D34, 'Advanced - Principals and APs'!D34)</f>
        <v>0</v>
      </c>
      <c r="U42" s="658">
        <f>IF(INSTRUCTIONS!$Q$8="Basic", 'Basic - Principals and APs'!E34, 'Advanced - Principals and APs'!E34)</f>
        <v>0</v>
      </c>
      <c r="V42" s="657">
        <f>IF(INSTRUCTIONS!$Q$8="Basic", 'Basic - Principals and APs'!F34, 'Advanced - Principals and APs'!F34)</f>
        <v>0</v>
      </c>
    </row>
    <row r="43" spans="2:45" ht="27.6" customHeight="1" thickBot="1">
      <c r="B43" s="802" t="s">
        <v>116</v>
      </c>
      <c r="C43" s="603" t="s">
        <v>82</v>
      </c>
      <c r="D43" s="603" t="s">
        <v>726</v>
      </c>
      <c r="E43" s="603" t="s">
        <v>82</v>
      </c>
      <c r="F43" s="603" t="s">
        <v>726</v>
      </c>
      <c r="R43" s="634" t="s">
        <v>101</v>
      </c>
      <c r="S43" s="773">
        <f>IF(INSTRUCTIONS!$Q$8="Basic", 'Basic - Principals and APs'!C35, 'Advanced - Principals and APs'!C35)</f>
        <v>0</v>
      </c>
      <c r="T43" s="657">
        <f>IF(INSTRUCTIONS!$Q$8="Basic", 'Basic - Principals and APs'!D35, 'Advanced - Principals and APs'!D35)</f>
        <v>0</v>
      </c>
      <c r="U43" s="774">
        <f>IF(INSTRUCTIONS!$Q$8="Basic", 'Basic - Principals and APs'!E35, 'Advanced - Principals and APs'!E35)</f>
        <v>0</v>
      </c>
      <c r="V43" s="657">
        <f>IF(INSTRUCTIONS!$Q$8="Basic", 'Basic - Principals and APs'!F35, 'Advanced - Principals and APs'!F35)</f>
        <v>0</v>
      </c>
      <c r="Y43" s="978"/>
      <c r="Z43" s="978"/>
      <c r="AA43" s="978"/>
      <c r="AB43" s="978"/>
      <c r="AC43" s="978"/>
      <c r="AD43" s="978"/>
      <c r="AE43" s="978"/>
    </row>
    <row r="44" spans="2:45" ht="15" customHeight="1" thickBot="1">
      <c r="B44" s="634" t="s">
        <v>119</v>
      </c>
      <c r="C44" s="656">
        <f>IF(INSTRUCTIONS!$Q$7="Basic", 'Basic - Teachers'!C33, 'Advanced - Teachers'!C33)</f>
        <v>0</v>
      </c>
      <c r="D44" s="657">
        <f>IF(INSTRUCTIONS!$Q$7="Basic", 'Basic - Teachers'!D33, 'Advanced - Teachers'!D33)</f>
        <v>0</v>
      </c>
      <c r="E44" s="658">
        <f>IF(INSTRUCTIONS!$Q$7="Basic", 'Basic - Teachers'!E33, 'Advanced - Teachers'!E33)</f>
        <v>0</v>
      </c>
      <c r="F44" s="657">
        <f>IF(INSTRUCTIONS!$Q$7="Basic", 'Basic - Teachers'!F33, 'Advanced - Teachers'!F33)</f>
        <v>0</v>
      </c>
      <c r="X44" s="1624" t="s">
        <v>729</v>
      </c>
      <c r="Y44" s="1625"/>
      <c r="Z44" s="1625"/>
      <c r="AA44" s="1625"/>
      <c r="AB44" s="1625"/>
      <c r="AC44" s="1625"/>
      <c r="AD44" s="1626"/>
      <c r="AE44" s="978"/>
    </row>
    <row r="45" spans="2:45" ht="30.95" customHeight="1" thickBot="1">
      <c r="B45" s="634" t="s">
        <v>121</v>
      </c>
      <c r="C45" s="656">
        <f>IF(INSTRUCTIONS!$Q$7="Basic", 'Basic - Teachers'!C34, 'Advanced - Teachers'!C34)</f>
        <v>0</v>
      </c>
      <c r="D45" s="657">
        <f>IF(INSTRUCTIONS!$Q$7="Basic", 'Basic - Teachers'!D34, 'Advanced - Teachers'!D34)</f>
        <v>0</v>
      </c>
      <c r="E45" s="658">
        <f>IF(INSTRUCTIONS!$Q$7="Basic", 'Basic - Teachers'!E34, 'Advanced - Teachers'!E34)</f>
        <v>0</v>
      </c>
      <c r="F45" s="657">
        <f>IF(INSTRUCTIONS!$Q$7="Basic", 'Basic - Teachers'!F34, 'Advanced - Teachers'!F34)</f>
        <v>0</v>
      </c>
      <c r="H45" s="1624" t="s">
        <v>730</v>
      </c>
      <c r="I45" s="1625"/>
      <c r="J45" s="1625"/>
      <c r="K45" s="1625"/>
      <c r="L45" s="1625"/>
      <c r="M45" s="1625"/>
      <c r="N45" s="1626"/>
      <c r="O45" s="978"/>
      <c r="R45" s="1249" t="s">
        <v>126</v>
      </c>
      <c r="S45" s="1249"/>
      <c r="T45" s="1249"/>
      <c r="U45" s="1249"/>
      <c r="X45" s="1627"/>
      <c r="Y45" s="1628"/>
      <c r="Z45" s="1628"/>
      <c r="AA45" s="1628"/>
      <c r="AB45" s="1628"/>
      <c r="AC45" s="1628"/>
      <c r="AD45" s="1629"/>
      <c r="AE45" s="978"/>
    </row>
    <row r="46" spans="2:45" ht="24.95" customHeight="1">
      <c r="B46" s="634" t="s">
        <v>122</v>
      </c>
      <c r="C46" s="656">
        <f>IF(INSTRUCTIONS!$Q$7="Basic", 'Basic - Teachers'!C35, 'Advanced - Teachers'!C35)</f>
        <v>0</v>
      </c>
      <c r="D46" s="657">
        <f>IF(INSTRUCTIONS!$Q$7="Basic", 'Basic - Teachers'!D35, 'Advanced - Teachers'!D35)</f>
        <v>0</v>
      </c>
      <c r="E46" s="658">
        <f>IF(INSTRUCTIONS!$Q$7="Basic", 'Basic - Teachers'!E35, 'Advanced - Teachers'!E35)</f>
        <v>0</v>
      </c>
      <c r="F46" s="657">
        <f>IF(INSTRUCTIONS!$Q$7="Basic", 'Basic - Teachers'!F35, 'Advanced - Teachers'!F35)</f>
        <v>0</v>
      </c>
      <c r="H46" s="1703"/>
      <c r="I46" s="1704"/>
      <c r="J46" s="1704"/>
      <c r="K46" s="1704"/>
      <c r="L46" s="1704"/>
      <c r="M46" s="1704"/>
      <c r="N46" s="1705"/>
      <c r="O46" s="978"/>
      <c r="R46" s="1235" t="s">
        <v>717</v>
      </c>
      <c r="S46" s="1236"/>
      <c r="T46" s="1236"/>
      <c r="U46" s="1237"/>
      <c r="X46" s="978"/>
      <c r="Y46" s="978"/>
      <c r="Z46" s="978"/>
      <c r="AA46" s="978"/>
      <c r="AB46" s="978"/>
      <c r="AC46" s="978"/>
      <c r="AD46" s="978"/>
      <c r="AE46" s="978"/>
    </row>
    <row r="47" spans="2:45" ht="24.95" customHeight="1" thickBot="1">
      <c r="B47" s="634" t="s">
        <v>101</v>
      </c>
      <c r="C47" s="773">
        <f>IF(INSTRUCTIONS!$Q$7="Basic", 'Basic - Teachers'!C36, 'Advanced - Teachers'!C36)</f>
        <v>0</v>
      </c>
      <c r="D47" s="657">
        <f>IF(INSTRUCTIONS!$Q$7="Basic", 'Basic - Teachers'!D36, 'Advanced - Teachers'!D36)</f>
        <v>0</v>
      </c>
      <c r="E47" s="774">
        <f>IF(INSTRUCTIONS!$Q$7="Basic", 'Basic - Teachers'!E36, 'Advanced - Teachers'!E36)</f>
        <v>0</v>
      </c>
      <c r="F47" s="657">
        <f>IF(INSTRUCTIONS!$Q$7="Basic", 'Basic - Teachers'!F36, 'Advanced - Teachers'!F36)</f>
        <v>0</v>
      </c>
      <c r="H47" s="1627"/>
      <c r="I47" s="1628"/>
      <c r="J47" s="1628"/>
      <c r="K47" s="1628"/>
      <c r="L47" s="1628"/>
      <c r="M47" s="1628"/>
      <c r="N47" s="1629"/>
      <c r="O47" s="978"/>
      <c r="R47" s="1238"/>
      <c r="S47" s="1239"/>
      <c r="T47" s="1239"/>
      <c r="U47" s="1240"/>
    </row>
    <row r="48" spans="2:45" ht="29.45" customHeight="1">
      <c r="B48" s="999"/>
      <c r="C48" s="1000"/>
      <c r="D48" s="1001"/>
      <c r="R48" s="1238"/>
      <c r="S48" s="1239"/>
      <c r="T48" s="1239"/>
      <c r="U48" s="1240"/>
    </row>
    <row r="49" spans="2:31">
      <c r="B49" s="1706" t="s">
        <v>731</v>
      </c>
      <c r="C49" s="1706"/>
      <c r="D49" s="1706"/>
      <c r="E49" s="1706"/>
      <c r="F49" s="1706"/>
      <c r="R49" s="1241"/>
      <c r="S49" s="1242"/>
      <c r="T49" s="1242"/>
      <c r="U49" s="1243"/>
    </row>
    <row r="50" spans="2:31" ht="24.6" customHeight="1">
      <c r="B50" s="1235" t="s">
        <v>732</v>
      </c>
      <c r="C50" s="1236"/>
      <c r="D50" s="1236"/>
      <c r="E50" s="1236"/>
      <c r="F50" s="1237"/>
      <c r="R50" s="1250"/>
      <c r="S50" s="1251"/>
      <c r="T50" s="612" t="s">
        <v>85</v>
      </c>
      <c r="U50" s="612" t="s">
        <v>86</v>
      </c>
    </row>
    <row r="51" spans="2:31">
      <c r="B51" s="1002"/>
      <c r="C51" s="1199" t="s">
        <v>85</v>
      </c>
      <c r="D51" s="1341"/>
      <c r="E51" s="1707" t="s">
        <v>86</v>
      </c>
      <c r="F51" s="1341"/>
      <c r="R51" s="1699" t="s">
        <v>719</v>
      </c>
      <c r="S51" s="1699"/>
      <c r="T51" s="1010">
        <f>IFERROR(IF(INSTRUCTIONS!$Q$8="Basic", 'Basic Principal Analysis'!$S$120/'Basic Principal Analysis'!$N$82, 'Advanced Principal Analysis'!$S$217/'Advanced Principal Analysis'!$N$186), 0)</f>
        <v>0</v>
      </c>
      <c r="U51" s="1010">
        <f>IFERROR(IF(INSTRUCTIONS!$Q$8="Basic", 'Basic Principal Analysis'!$S$102/'Basic Principal Analysis'!$O$82, 'Advanced Principal Analysis'!$S$203/'Advanced Principal Analysis'!$O$186), 0)</f>
        <v>0</v>
      </c>
    </row>
    <row r="52" spans="2:31" ht="29.1">
      <c r="B52" s="634" t="s">
        <v>733</v>
      </c>
      <c r="C52" s="1725" t="str">
        <f>IFERROR(IF(INSTRUCTIONS!$Q$7="Basic",SUM('Chart Tables'!C22,'Basic Teacher Analysis'!D61),SUM('Chart Tables'!C22,'Advanced Teacher Analysis'!D89)), "$0")</f>
        <v>$0</v>
      </c>
      <c r="D52" s="1726"/>
      <c r="E52" s="1725">
        <f>IFERROR(IF(INSTRUCTIONS!$Q$7="Basic",SUM('Chart Tables'!D22,'Basic Teacher Analysis'!E61),SUM('Chart Tables'!D22,'Advanced Teacher Analysis'!E89)), 0)</f>
        <v>0</v>
      </c>
      <c r="F52" s="1726"/>
      <c r="R52" s="1699" t="s">
        <v>500</v>
      </c>
      <c r="S52" s="1699"/>
      <c r="T52" s="1011">
        <f>IF(INSTRUCTIONS!$Q$8="Basic", 'Basic Principal Analysis'!$S$120, 'Advanced Principal Analysis'!$S$217)</f>
        <v>0</v>
      </c>
      <c r="U52" s="1011">
        <f>IF(INSTRUCTIONS!$Q$8="Basic", 'Basic Principal Analysis'!$S$102, 'Advanced Principal Analysis'!$S$203)</f>
        <v>0</v>
      </c>
    </row>
    <row r="53" spans="2:31" ht="29.1">
      <c r="B53" s="634" t="s">
        <v>734</v>
      </c>
      <c r="C53" s="1725" t="str">
        <f>IFERROR(IF(INSTRUCTIONS!$Q$7="Basic",SUM('Chart Tables'!C29, 'Basic Teacher Analysis'!D59),SUM('Chart Tables'!C29, 'Advanced Teacher Analysis'!D87)), "$0")</f>
        <v>$0</v>
      </c>
      <c r="D53" s="1726"/>
      <c r="E53" s="1725">
        <f>IFERROR(IF(INSTRUCTIONS!$Q$7="Basic",SUM('Chart Tables'!D29, 'Basic Teacher Analysis'!E59),SUM('Chart Tables'!D29,'Advanced Teacher Analysis'!E87)), 0)</f>
        <v>0</v>
      </c>
      <c r="F53" s="1726"/>
      <c r="R53" s="1723" t="s">
        <v>134</v>
      </c>
      <c r="S53" s="1723"/>
      <c r="T53" s="1662">
        <f>U52-T52</f>
        <v>0</v>
      </c>
      <c r="U53" s="1724"/>
    </row>
    <row r="54" spans="2:31" ht="29.1">
      <c r="B54" s="634" t="s">
        <v>735</v>
      </c>
      <c r="C54" s="1725" t="str">
        <f>IFERROR(IF(INSTRUCTIONS!$Q$7="Basic",SUM('Chart Tables'!C39, 'Basic Teacher Analysis'!E36, 'Basic Teacher Analysis'!D47),SUM('Chart Tables'!C39, 'Advanced Teacher Analysis'!E57, 'Advanced Teacher Analysis'!E70)), "$0")</f>
        <v>$0</v>
      </c>
      <c r="D54" s="1726"/>
      <c r="E54" s="1725">
        <f>IFERROR(IF(INSTRUCTIONS!$Q$7="Basic",SUM('Chart Tables'!D39, 'Basic Teacher Analysis'!F36, 'Basic Teacher Analysis'!E47),SUM('Chart Tables'!D39, 'Advanced Teacher Analysis'!F57, 'Advanced Teacher Analysis'!E70)), 0)</f>
        <v>0</v>
      </c>
      <c r="F54" s="1726"/>
    </row>
    <row r="55" spans="2:31">
      <c r="C55" s="1000"/>
      <c r="D55" s="1001"/>
    </row>
    <row r="56" spans="2:31" ht="23.45" customHeight="1">
      <c r="B56" s="1249" t="s">
        <v>126</v>
      </c>
      <c r="C56" s="1249"/>
      <c r="D56" s="1249"/>
      <c r="E56" s="1249"/>
    </row>
    <row r="57" spans="2:31" ht="26.45" customHeight="1">
      <c r="B57" s="1235" t="s">
        <v>717</v>
      </c>
      <c r="C57" s="1236"/>
      <c r="D57" s="1236"/>
      <c r="E57" s="1237"/>
    </row>
    <row r="58" spans="2:31">
      <c r="B58" s="1238"/>
      <c r="C58" s="1239"/>
      <c r="D58" s="1239"/>
      <c r="E58" s="1240"/>
    </row>
    <row r="59" spans="2:31" ht="20.45" customHeight="1" thickBot="1">
      <c r="B59" s="1238"/>
      <c r="C59" s="1239"/>
      <c r="D59" s="1239"/>
      <c r="E59" s="1240"/>
    </row>
    <row r="60" spans="2:31" ht="27.95" customHeight="1">
      <c r="B60" s="1241"/>
      <c r="C60" s="1242"/>
      <c r="D60" s="1242"/>
      <c r="E60" s="1243"/>
      <c r="X60" s="1624" t="s">
        <v>736</v>
      </c>
      <c r="Y60" s="1625"/>
      <c r="Z60" s="1625"/>
      <c r="AA60" s="1625"/>
      <c r="AB60" s="1625"/>
      <c r="AC60" s="1625"/>
      <c r="AD60" s="1626"/>
      <c r="AE60" s="978"/>
    </row>
    <row r="61" spans="2:31" ht="15" thickBot="1">
      <c r="B61" s="1250"/>
      <c r="C61" s="1251"/>
      <c r="D61" s="612" t="s">
        <v>85</v>
      </c>
      <c r="E61" s="612" t="s">
        <v>86</v>
      </c>
      <c r="X61" s="1627"/>
      <c r="Y61" s="1628"/>
      <c r="Z61" s="1628"/>
      <c r="AA61" s="1628"/>
      <c r="AB61" s="1628"/>
      <c r="AC61" s="1628"/>
      <c r="AD61" s="1629"/>
      <c r="AE61" s="978"/>
    </row>
    <row r="62" spans="2:31" ht="15" thickBot="1">
      <c r="B62" s="1727" t="s">
        <v>719</v>
      </c>
      <c r="C62" s="1727"/>
      <c r="D62" s="1005">
        <f>IFERROR(IF(INSTRUCTIONS!$Q$7="Basic", 'Basic Teacher Analysis'!$R$108/'Basic Teacher Analysis'!$M$93, 'Advanced Teacher Analysis'!$U$94/'Advanced Teacher Analysis'!$P$76), 0)</f>
        <v>0</v>
      </c>
      <c r="E62" s="1006">
        <f>IFERROR(IF(INSTRUCTIONS!$Q$7="Basic", 'Basic Teacher Analysis'!$R$102/'Basic Teacher Analysis'!$N$93, 'Advanced Teacher Analysis'!$U$87/'Advanced Teacher Analysis'!$Q$76), 0)</f>
        <v>0</v>
      </c>
      <c r="H62" s="1624" t="s">
        <v>737</v>
      </c>
      <c r="I62" s="1625"/>
      <c r="J62" s="1625"/>
      <c r="K62" s="1625"/>
      <c r="L62" s="1625"/>
      <c r="M62" s="1625"/>
      <c r="N62" s="1626"/>
    </row>
    <row r="63" spans="2:31" ht="15" thickBot="1">
      <c r="B63" s="1699" t="s">
        <v>500</v>
      </c>
      <c r="C63" s="1699"/>
      <c r="D63" s="835" t="str">
        <f>IFERROR(IF(INSTRUCTIONS!$Q$7="Basic", 'Basic Teacher Analysis'!$R$108, 'Advanced Teacher Analysis'!$U$94), "$0")</f>
        <v>$0</v>
      </c>
      <c r="E63" s="835">
        <f>IFERROR(IF(INSTRUCTIONS!$Q$7="Basic", 'Basic Teacher Analysis'!$R$102, 'Advanced Teacher Analysis'!$U$87), 0)</f>
        <v>0</v>
      </c>
      <c r="H63" s="1627"/>
      <c r="I63" s="1628"/>
      <c r="J63" s="1628"/>
      <c r="K63" s="1628"/>
      <c r="L63" s="1628"/>
      <c r="M63" s="1628"/>
      <c r="N63" s="1629"/>
      <c r="X63" s="992"/>
      <c r="Y63" s="993" t="s">
        <v>261</v>
      </c>
      <c r="Z63" s="993" t="s">
        <v>170</v>
      </c>
      <c r="AA63" s="993" t="s">
        <v>171</v>
      </c>
      <c r="AB63" s="993" t="s">
        <v>172</v>
      </c>
      <c r="AC63" s="993" t="s">
        <v>173</v>
      </c>
      <c r="AD63" s="994" t="s">
        <v>174</v>
      </c>
    </row>
    <row r="64" spans="2:31" ht="15" thickBot="1">
      <c r="B64" s="1720" t="s">
        <v>134</v>
      </c>
      <c r="C64" s="1720"/>
      <c r="D64" s="1721">
        <f>E63-D63</f>
        <v>0</v>
      </c>
      <c r="E64" s="1722"/>
      <c r="X64" s="995" t="s">
        <v>85</v>
      </c>
      <c r="Y64" s="1012">
        <f>IF(INSTRUCTIONS!$Q$8="Basic",'Basic Principal Analysis'!S6, 'Advanced Principal Analysis'!R5)</f>
        <v>0</v>
      </c>
      <c r="Z64" s="1012">
        <f>IF(INSTRUCTIONS!$Q$8="Basic",'Basic Principal Analysis'!T6, 'Advanced Principal Analysis'!S5)</f>
        <v>0</v>
      </c>
      <c r="AA64" s="1012">
        <f>IF(INSTRUCTIONS!$Q$8="Basic",'Basic Principal Analysis'!U6, 'Advanced Principal Analysis'!T5)</f>
        <v>0</v>
      </c>
      <c r="AB64" s="1012">
        <f>IF(INSTRUCTIONS!$Q$8="Basic",'Basic Principal Analysis'!V6, 'Advanced Principal Analysis'!U5)</f>
        <v>0</v>
      </c>
      <c r="AC64" s="1012">
        <f>IF(INSTRUCTIONS!$Q$8="Basic",'Basic Principal Analysis'!W6, 'Advanced Principal Analysis'!V5)</f>
        <v>0</v>
      </c>
      <c r="AD64" s="1013">
        <f>IF(INSTRUCTIONS!$Q$8="Basic",'Basic Principal Analysis'!X6, 'Advanced Principal Analysis'!W5)</f>
        <v>0</v>
      </c>
    </row>
    <row r="65" spans="8:30" ht="15" customHeight="1" thickBot="1">
      <c r="H65" s="992"/>
      <c r="I65" s="1058" t="s">
        <v>270</v>
      </c>
      <c r="J65" s="993" t="s">
        <v>170</v>
      </c>
      <c r="K65" s="993" t="s">
        <v>171</v>
      </c>
      <c r="L65" s="993" t="s">
        <v>172</v>
      </c>
      <c r="M65" s="993" t="s">
        <v>173</v>
      </c>
      <c r="N65" s="994" t="s">
        <v>174</v>
      </c>
      <c r="O65" s="978"/>
      <c r="X65" s="1003" t="s">
        <v>86</v>
      </c>
      <c r="Y65" s="1007">
        <f>IF(INSTRUCTIONS!$Q$8="Basic", 'Basic Principal Analysis'!S5, 'Advanced Principal Analysis'!R4)</f>
        <v>0</v>
      </c>
      <c r="Z65" s="1007">
        <f>IF(INSTRUCTIONS!$Q$8="Basic", 'Basic Principal Analysis'!T5, 'Advanced Principal Analysis'!S4)</f>
        <v>0</v>
      </c>
      <c r="AA65" s="1007">
        <f>IF(INSTRUCTIONS!$Q$8="Basic", 'Basic Principal Analysis'!U5, 'Advanced Principal Analysis'!T4)</f>
        <v>0</v>
      </c>
      <c r="AB65" s="1007">
        <f>IF(INSTRUCTIONS!$Q$8="Basic", 'Basic Principal Analysis'!V5, 'Advanced Principal Analysis'!U4)</f>
        <v>0</v>
      </c>
      <c r="AC65" s="1007">
        <f>IF(INSTRUCTIONS!$Q$8="Basic", 'Basic Principal Analysis'!W5, 'Advanced Principal Analysis'!V4)</f>
        <v>0</v>
      </c>
      <c r="AD65" s="655">
        <f>IF(INSTRUCTIONS!$Q$8="Basic", 'Basic Principal Analysis'!X5, 'Advanced Principal Analysis'!W4)</f>
        <v>0</v>
      </c>
    </row>
    <row r="66" spans="8:30" ht="29.45" customHeight="1" thickBot="1">
      <c r="H66" s="995" t="s">
        <v>85</v>
      </c>
      <c r="I66" s="1098" t="str">
        <f>IFERROR(IF(INSTRUCTIONS!$Q$7="Basic", 'Basic Teacher Analysis'!AP6, 'Advanced Teacher Analysis'!V6), "$0")</f>
        <v>$0</v>
      </c>
      <c r="J66" s="1098" t="str">
        <f>IFERROR(IF(INSTRUCTIONS!$Q$7="Basic", 'Basic Teacher Analysis'!AQ6, 'Advanced Teacher Analysis'!W6), "$0")</f>
        <v>$0</v>
      </c>
      <c r="K66" s="1098" t="str">
        <f>IFERROR(IF(INSTRUCTIONS!$Q$7="Basic", 'Basic Teacher Analysis'!AR6, 'Advanced Teacher Analysis'!X6), "$0")</f>
        <v>$0</v>
      </c>
      <c r="L66" s="1098" t="str">
        <f>IFERROR(IF(INSTRUCTIONS!$Q$7="Basic", 'Basic Teacher Analysis'!AS6, 'Advanced Teacher Analysis'!Y6), "$0")</f>
        <v>$0</v>
      </c>
      <c r="M66" s="1098" t="str">
        <f>IFERROR(IF(INSTRUCTIONS!$Q$7="Basic", 'Basic Teacher Analysis'!AT6, 'Advanced Teacher Analysis'!Z6), "$0")</f>
        <v>$0</v>
      </c>
      <c r="N66" s="1099" t="str">
        <f>IFERROR(IF(INSTRUCTIONS!$Q$7="Basic", 'Basic Teacher Analysis'!AU6, 'Advanced Teacher Analysis'!AA6), "$0")</f>
        <v>$0</v>
      </c>
      <c r="O66" s="978"/>
      <c r="X66" s="1004" t="s">
        <v>724</v>
      </c>
      <c r="Y66" s="1008">
        <f>Y65-Y64</f>
        <v>0</v>
      </c>
      <c r="Z66" s="1008">
        <f t="shared" ref="Z66" si="5">Z65-Z64</f>
        <v>0</v>
      </c>
      <c r="AA66" s="1008">
        <f t="shared" ref="AA66" si="6">AA65-AA64</f>
        <v>0</v>
      </c>
      <c r="AB66" s="1008">
        <f t="shared" ref="AB66" si="7">AB65-AB64</f>
        <v>0</v>
      </c>
      <c r="AC66" s="1008">
        <f t="shared" ref="AC66" si="8">AC65-AC64</f>
        <v>0</v>
      </c>
      <c r="AD66" s="1009">
        <f t="shared" ref="AD66" si="9">AD65-AD64</f>
        <v>0</v>
      </c>
    </row>
    <row r="67" spans="8:30" ht="15" thickBot="1">
      <c r="H67" s="1003" t="s">
        <v>86</v>
      </c>
      <c r="I67" s="1007">
        <f>IFERROR(IF(INSTRUCTIONS!$Q$7="Basic", 'Basic Teacher Analysis'!AP5, 'Advanced Teacher Analysis'!V5), 0)</f>
        <v>0</v>
      </c>
      <c r="J67" s="1007">
        <f>IFERROR(IF(INSTRUCTIONS!$Q$7="Basic", 'Basic Teacher Analysis'!AQ5, 'Advanced Teacher Analysis'!W5), 0)</f>
        <v>0</v>
      </c>
      <c r="K67" s="1007">
        <f>IFERROR(IF(INSTRUCTIONS!$Q$7="Basic", 'Basic Teacher Analysis'!AR5, 'Advanced Teacher Analysis'!X5), 0)</f>
        <v>0</v>
      </c>
      <c r="L67" s="1007">
        <f>IFERROR(IF(INSTRUCTIONS!$Q$7="Basic", 'Basic Teacher Analysis'!AS5, 'Advanced Teacher Analysis'!Y5), 0)</f>
        <v>0</v>
      </c>
      <c r="M67" s="1007">
        <f>IFERROR(IF(INSTRUCTIONS!$Q$7="Basic", 'Basic Teacher Analysis'!AT5, 'Advanced Teacher Analysis'!Z5), 0)</f>
        <v>0</v>
      </c>
      <c r="N67" s="655">
        <f>IFERROR(IF(INSTRUCTIONS!$Q$7="Basic", 'Basic Teacher Analysis'!AU5, 'Advanced Teacher Analysis'!AA5), 0)</f>
        <v>0</v>
      </c>
    </row>
    <row r="68" spans="8:30" ht="15" customHeight="1" thickBot="1">
      <c r="H68" s="1004" t="s">
        <v>724</v>
      </c>
      <c r="I68" s="1008">
        <f>I67-I66</f>
        <v>0</v>
      </c>
      <c r="J68" s="1008">
        <f t="shared" ref="J68:N68" si="10">J67-J66</f>
        <v>0</v>
      </c>
      <c r="K68" s="1008">
        <f t="shared" si="10"/>
        <v>0</v>
      </c>
      <c r="L68" s="1008">
        <f t="shared" si="10"/>
        <v>0</v>
      </c>
      <c r="M68" s="1008">
        <f t="shared" si="10"/>
        <v>0</v>
      </c>
      <c r="N68" s="1009">
        <f t="shared" si="10"/>
        <v>0</v>
      </c>
      <c r="X68" s="1711" t="s">
        <v>738</v>
      </c>
      <c r="Y68" s="1712"/>
      <c r="Z68" s="1712"/>
      <c r="AA68" s="1712"/>
      <c r="AB68" s="1712"/>
      <c r="AC68" s="1712"/>
      <c r="AD68" s="1713"/>
    </row>
    <row r="69" spans="8:30" ht="24.6" customHeight="1" thickBot="1">
      <c r="J69" s="989"/>
      <c r="X69" s="1717"/>
      <c r="Y69" s="1718"/>
      <c r="Z69" s="1718"/>
      <c r="AA69" s="1718"/>
      <c r="AB69" s="1718"/>
      <c r="AC69" s="1718"/>
      <c r="AD69" s="1719"/>
    </row>
    <row r="70" spans="8:30" ht="38.1" customHeight="1" thickBot="1">
      <c r="H70" s="1708" t="s">
        <v>739</v>
      </c>
      <c r="I70" s="1709"/>
      <c r="J70" s="1709"/>
      <c r="K70" s="1709"/>
      <c r="L70" s="1709"/>
      <c r="M70" s="1709"/>
      <c r="N70" s="1710"/>
      <c r="X70" s="1062"/>
      <c r="Y70" s="1062"/>
      <c r="Z70" s="1062"/>
      <c r="AA70" s="1062"/>
      <c r="AB70" s="1062"/>
      <c r="AC70" s="1062"/>
      <c r="AD70" s="1062"/>
    </row>
    <row r="71" spans="8:30">
      <c r="J71" s="989"/>
    </row>
    <row r="72" spans="8:30" ht="39" customHeight="1"/>
    <row r="73" spans="8:30" ht="27.95" customHeight="1"/>
    <row r="75" spans="8:30" ht="30.6" customHeight="1"/>
  </sheetData>
  <sheetProtection algorithmName="SHA-512" hashValue="F4p/z42sVfR6COEVssrFqwYStSWXkqx+c/U3CuEaiD34aOH8h2JGzS1BtsZq9/gytm2krHvfpOus/4bDzf+YaQ==" saltValue="SvLL/Eas3pNJ+0i3CbIx4A==" spinCount="100000" sheet="1" objects="1" scenarios="1"/>
  <mergeCells count="152">
    <mergeCell ref="H70:N70"/>
    <mergeCell ref="AM36:AS38"/>
    <mergeCell ref="B57:E60"/>
    <mergeCell ref="R46:U49"/>
    <mergeCell ref="X68:AD69"/>
    <mergeCell ref="H62:N63"/>
    <mergeCell ref="X60:AD61"/>
    <mergeCell ref="B64:C64"/>
    <mergeCell ref="D64:E64"/>
    <mergeCell ref="R53:S53"/>
    <mergeCell ref="T53:U53"/>
    <mergeCell ref="B56:E56"/>
    <mergeCell ref="B61:C61"/>
    <mergeCell ref="C53:D53"/>
    <mergeCell ref="C54:D54"/>
    <mergeCell ref="E52:F52"/>
    <mergeCell ref="E53:F53"/>
    <mergeCell ref="E54:F54"/>
    <mergeCell ref="B62:C62"/>
    <mergeCell ref="B63:C63"/>
    <mergeCell ref="X44:AD45"/>
    <mergeCell ref="C52:D52"/>
    <mergeCell ref="C42:D42"/>
    <mergeCell ref="B50:F50"/>
    <mergeCell ref="H28:N29"/>
    <mergeCell ref="AH24:AI24"/>
    <mergeCell ref="AJ24:AK24"/>
    <mergeCell ref="B23:E23"/>
    <mergeCell ref="R52:S52"/>
    <mergeCell ref="AH22:AI22"/>
    <mergeCell ref="AH23:AI23"/>
    <mergeCell ref="B38:F38"/>
    <mergeCell ref="B39:F39"/>
    <mergeCell ref="S34:T34"/>
    <mergeCell ref="U34:V34"/>
    <mergeCell ref="S35:T35"/>
    <mergeCell ref="U35:V35"/>
    <mergeCell ref="S25:T25"/>
    <mergeCell ref="U25:V25"/>
    <mergeCell ref="S26:T26"/>
    <mergeCell ref="U26:V26"/>
    <mergeCell ref="H45:N47"/>
    <mergeCell ref="R45:U45"/>
    <mergeCell ref="R50:S50"/>
    <mergeCell ref="B49:F49"/>
    <mergeCell ref="R51:S51"/>
    <mergeCell ref="C51:D51"/>
    <mergeCell ref="E51:F51"/>
    <mergeCell ref="S9:T9"/>
    <mergeCell ref="U9:V9"/>
    <mergeCell ref="R10:V10"/>
    <mergeCell ref="S11:T11"/>
    <mergeCell ref="U11:V11"/>
    <mergeCell ref="C12:D12"/>
    <mergeCell ref="C14:D14"/>
    <mergeCell ref="C15:D15"/>
    <mergeCell ref="H14:N15"/>
    <mergeCell ref="S6:T6"/>
    <mergeCell ref="U6:V6"/>
    <mergeCell ref="R7:V7"/>
    <mergeCell ref="S8:T8"/>
    <mergeCell ref="U8:V8"/>
    <mergeCell ref="C17:D17"/>
    <mergeCell ref="E6:F6"/>
    <mergeCell ref="E8:F8"/>
    <mergeCell ref="E9:F9"/>
    <mergeCell ref="E11:F11"/>
    <mergeCell ref="E14:F14"/>
    <mergeCell ref="E15:F15"/>
    <mergeCell ref="E12:F12"/>
    <mergeCell ref="E17:F17"/>
    <mergeCell ref="B7:F7"/>
    <mergeCell ref="B10:F10"/>
    <mergeCell ref="B13:F13"/>
    <mergeCell ref="B16:F16"/>
    <mergeCell ref="C6:D6"/>
    <mergeCell ref="C8:D8"/>
    <mergeCell ref="C9:D9"/>
    <mergeCell ref="C11:D11"/>
    <mergeCell ref="S12:T12"/>
    <mergeCell ref="U12:V12"/>
    <mergeCell ref="B3:F3"/>
    <mergeCell ref="B4:F5"/>
    <mergeCell ref="R41:V41"/>
    <mergeCell ref="AH5:AJ5"/>
    <mergeCell ref="AH6:AJ6"/>
    <mergeCell ref="R32:V32"/>
    <mergeCell ref="R33:V33"/>
    <mergeCell ref="R38:V38"/>
    <mergeCell ref="S36:T36"/>
    <mergeCell ref="U36:V36"/>
    <mergeCell ref="AH12:AJ12"/>
    <mergeCell ref="AH13:AJ13"/>
    <mergeCell ref="B25:F25"/>
    <mergeCell ref="B26:F26"/>
    <mergeCell ref="R23:V23"/>
    <mergeCell ref="R24:V24"/>
    <mergeCell ref="C31:D31"/>
    <mergeCell ref="E31:F31"/>
    <mergeCell ref="C33:D33"/>
    <mergeCell ref="R16:V16"/>
    <mergeCell ref="T18:U18"/>
    <mergeCell ref="R19:S19"/>
    <mergeCell ref="R3:V3"/>
    <mergeCell ref="R4:V5"/>
    <mergeCell ref="B19:F19"/>
    <mergeCell ref="B20:F20"/>
    <mergeCell ref="B21:C21"/>
    <mergeCell ref="D21:E21"/>
    <mergeCell ref="B22:C22"/>
    <mergeCell ref="D22:E22"/>
    <mergeCell ref="C40:D40"/>
    <mergeCell ref="E40:F40"/>
    <mergeCell ref="C41:D41"/>
    <mergeCell ref="E41:F41"/>
    <mergeCell ref="C35:D35"/>
    <mergeCell ref="E35:F35"/>
    <mergeCell ref="C36:D36"/>
    <mergeCell ref="E36:F36"/>
    <mergeCell ref="C30:D30"/>
    <mergeCell ref="E30:F30"/>
    <mergeCell ref="C32:D32"/>
    <mergeCell ref="E32:F32"/>
    <mergeCell ref="E42:F42"/>
    <mergeCell ref="C34:D34"/>
    <mergeCell ref="E34:F34"/>
    <mergeCell ref="E33:F33"/>
    <mergeCell ref="C27:D27"/>
    <mergeCell ref="E27:F27"/>
    <mergeCell ref="C28:D28"/>
    <mergeCell ref="E28:F28"/>
    <mergeCell ref="C29:D29"/>
    <mergeCell ref="E29:F29"/>
    <mergeCell ref="X14:AD15"/>
    <mergeCell ref="AM15:AR15"/>
    <mergeCell ref="AM29:AR29"/>
    <mergeCell ref="S28:T28"/>
    <mergeCell ref="U28:V28"/>
    <mergeCell ref="S29:T29"/>
    <mergeCell ref="U29:V29"/>
    <mergeCell ref="S30:T30"/>
    <mergeCell ref="U30:V30"/>
    <mergeCell ref="S27:T27"/>
    <mergeCell ref="U27:V27"/>
    <mergeCell ref="R20:U20"/>
    <mergeCell ref="R17:V17"/>
    <mergeCell ref="R18:S18"/>
    <mergeCell ref="AH17:AK17"/>
    <mergeCell ref="AH21:AI21"/>
    <mergeCell ref="X28:AD28"/>
    <mergeCell ref="T19:U19"/>
    <mergeCell ref="AH18:AK20"/>
  </mergeCells>
  <dataValidations count="2">
    <dataValidation allowBlank="1" showInputMessage="1" showErrorMessage="1" prompt="Total Teacher Comp includes spending on salary, additional pay based on effectiveness, roles, education, or critical needs, and benefits." sqref="B9" xr:uid="{2E7E0A38-5826-4DEE-BEA7-8325EF83C007}"/>
    <dataValidation allowBlank="1" showInputMessage="1" showErrorMessage="1" prompt="Assuming a beginner teacher starts at the lowest effectiveness designation and moves up one designation level each year" sqref="B17" xr:uid="{35893CA2-A237-4307-9223-FAF1D7E94D62}"/>
  </dataValidations>
  <pageMargins left="0.7" right="0.7" top="0.75" bottom="0.75" header="0.3" footer="0.3"/>
  <ignoredErrors>
    <ignoredError sqref="V40" evalError="1"/>
  </ignoredErrors>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269FA-0803-4AF8-8A01-2BC0666A743A}">
  <sheetPr codeName="Sheet2">
    <tabColor theme="5"/>
  </sheetPr>
  <dimension ref="A1"/>
  <sheetViews>
    <sheetView workbookViewId="0">
      <selection activeCell="H18" sqref="H18"/>
    </sheetView>
  </sheetViews>
  <sheetFormatPr defaultRowHeight="14.4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872862-66F3-42B3-BD64-923A8DF276D4}">
  <sheetPr codeName="Sheet3">
    <tabColor theme="5" tint="0.39997558519241921"/>
  </sheetPr>
  <dimension ref="A1:X123"/>
  <sheetViews>
    <sheetView showGridLines="0" zoomScale="98" zoomScaleNormal="98" workbookViewId="0">
      <pane xSplit="7" ySplit="7" topLeftCell="H8" activePane="bottomRight" state="frozen"/>
      <selection pane="bottomRight" activeCell="M43" sqref="M43"/>
      <selection pane="bottomLeft" activeCell="A6" sqref="A6"/>
      <selection pane="topRight" activeCell="H1" sqref="H1"/>
    </sheetView>
  </sheetViews>
  <sheetFormatPr defaultColWidth="8.7109375" defaultRowHeight="14.45"/>
  <cols>
    <col min="1" max="1" width="2.5703125" style="545" customWidth="1"/>
    <col min="2" max="2" width="17.85546875" style="545" customWidth="1"/>
    <col min="3" max="3" width="10.140625" style="545" customWidth="1"/>
    <col min="4" max="4" width="13" style="545" customWidth="1"/>
    <col min="5" max="5" width="12.28515625" style="545" customWidth="1"/>
    <col min="6" max="6" width="14.85546875" style="545" customWidth="1"/>
    <col min="7" max="7" width="2.42578125" style="545" customWidth="1"/>
    <col min="8" max="8" width="3.42578125" style="547" customWidth="1"/>
    <col min="9" max="9" width="6" style="545" customWidth="1"/>
    <col min="10" max="10" width="21.28515625" style="549" customWidth="1"/>
    <col min="11" max="11" width="21.85546875" style="550" customWidth="1"/>
    <col min="12" max="12" width="27.42578125" style="545" customWidth="1"/>
    <col min="13" max="13" width="22.7109375" style="545" customWidth="1"/>
    <col min="14" max="15" width="20.7109375" style="545" customWidth="1"/>
    <col min="16" max="16" width="2.85546875" style="545" customWidth="1"/>
    <col min="17" max="17" width="3.85546875" style="547" customWidth="1"/>
    <col min="18" max="18" width="6.85546875" style="545" customWidth="1"/>
    <col min="19" max="19" width="8.7109375" style="545"/>
    <col min="20" max="20" width="30.42578125" style="545" customWidth="1"/>
    <col min="21" max="21" width="19.85546875" style="545" customWidth="1"/>
    <col min="22" max="22" width="20.42578125" style="545" customWidth="1"/>
    <col min="23" max="23" width="6.85546875" style="545" customWidth="1"/>
    <col min="24" max="24" width="4.42578125" style="547" customWidth="1"/>
    <col min="25" max="16384" width="8.7109375" style="545"/>
  </cols>
  <sheetData>
    <row r="1" spans="1:24" ht="21.6" thickBot="1">
      <c r="C1" s="546"/>
      <c r="D1" s="546"/>
      <c r="E1" s="546"/>
      <c r="F1" s="546"/>
      <c r="I1" s="548"/>
    </row>
    <row r="2" spans="1:24" ht="23.45">
      <c r="B2" s="551" t="s">
        <v>51</v>
      </c>
      <c r="C2" s="552"/>
      <c r="D2" s="552"/>
      <c r="E2" s="552"/>
      <c r="F2" s="553"/>
      <c r="I2" s="548"/>
      <c r="J2" s="551" t="s">
        <v>52</v>
      </c>
      <c r="K2" s="551"/>
      <c r="L2" s="1728"/>
      <c r="M2"/>
      <c r="N2" s="1231" t="s">
        <v>53</v>
      </c>
      <c r="O2" s="1232"/>
      <c r="P2" s="548"/>
      <c r="T2" s="1729" t="s">
        <v>54</v>
      </c>
      <c r="U2" s="1730"/>
      <c r="V2" s="1731"/>
    </row>
    <row r="3" spans="1:24" ht="16.5" customHeight="1">
      <c r="B3" s="1222" t="s">
        <v>55</v>
      </c>
      <c r="C3" s="1223"/>
      <c r="D3" s="1223"/>
      <c r="E3" s="1223"/>
      <c r="F3" s="1224"/>
      <c r="J3" s="1222" t="s">
        <v>56</v>
      </c>
      <c r="K3" s="1223"/>
      <c r="L3" s="1224"/>
      <c r="M3"/>
      <c r="N3" s="1090" t="s">
        <v>57</v>
      </c>
      <c r="O3" s="1092" t="s">
        <v>58</v>
      </c>
      <c r="R3" s="554"/>
      <c r="T3" s="1222" t="s">
        <v>59</v>
      </c>
      <c r="U3" s="1223"/>
      <c r="V3" s="1224"/>
    </row>
    <row r="4" spans="1:24" ht="15.6" customHeight="1">
      <c r="B4" s="1225"/>
      <c r="C4" s="1226"/>
      <c r="D4" s="1226"/>
      <c r="E4" s="1226"/>
      <c r="F4" s="1227"/>
      <c r="J4" s="1225"/>
      <c r="K4" s="1226"/>
      <c r="L4" s="1227"/>
      <c r="M4"/>
      <c r="N4" s="1090" t="s">
        <v>60</v>
      </c>
      <c r="O4" s="1092" t="s">
        <v>61</v>
      </c>
      <c r="R4" s="554"/>
      <c r="T4" s="1225"/>
      <c r="U4" s="1226"/>
      <c r="V4" s="1227"/>
    </row>
    <row r="5" spans="1:24" ht="15.6" customHeight="1">
      <c r="B5" s="1225"/>
      <c r="C5" s="1226"/>
      <c r="D5" s="1226"/>
      <c r="E5" s="1226"/>
      <c r="F5" s="1227"/>
      <c r="J5" s="1225"/>
      <c r="K5" s="1226"/>
      <c r="L5" s="1227"/>
      <c r="M5"/>
      <c r="N5" s="1090" t="s">
        <v>62</v>
      </c>
      <c r="O5" s="1092" t="s">
        <v>63</v>
      </c>
      <c r="R5" s="554"/>
      <c r="T5" s="1225"/>
      <c r="U5" s="1226"/>
      <c r="V5" s="1227"/>
    </row>
    <row r="6" spans="1:24" ht="15.6" customHeight="1" thickBot="1">
      <c r="B6" s="1228"/>
      <c r="C6" s="1229"/>
      <c r="D6" s="1229"/>
      <c r="E6" s="1229"/>
      <c r="F6" s="1230"/>
      <c r="J6" s="1228"/>
      <c r="K6" s="1229"/>
      <c r="L6" s="1230"/>
      <c r="M6"/>
      <c r="N6" s="1091" t="s">
        <v>64</v>
      </c>
      <c r="O6" s="1089"/>
      <c r="R6" s="554"/>
      <c r="T6" s="1228"/>
      <c r="U6" s="1229"/>
      <c r="V6" s="1230"/>
    </row>
    <row r="7" spans="1:24" s="558" customFormat="1" ht="30" customHeight="1" thickBot="1">
      <c r="A7" s="545"/>
      <c r="B7" s="545"/>
      <c r="C7" s="781"/>
      <c r="D7" s="545"/>
      <c r="E7" s="545"/>
      <c r="F7" s="545"/>
      <c r="G7" s="545"/>
      <c r="H7" s="555"/>
      <c r="I7" s="545"/>
      <c r="J7" s="556" t="s">
        <v>65</v>
      </c>
      <c r="K7" s="664" t="str">
        <f>INSTRUCTIONS!Q7</f>
        <v>Basic</v>
      </c>
      <c r="L7" s="1217" t="str">
        <f>IF(K7="Advanced", "ERROR: Ensure 'Basic' is selected in the INSTRUCTIONS tab if using this tab for teacher inputs", " ")</f>
        <v xml:space="preserve"> </v>
      </c>
      <c r="M7" s="1217"/>
      <c r="N7" s="1064"/>
      <c r="O7" s="1064"/>
      <c r="P7" s="1064"/>
      <c r="Q7" s="547"/>
      <c r="R7" s="554"/>
      <c r="X7" s="555"/>
    </row>
    <row r="8" spans="1:24" s="558" customFormat="1" ht="24.6" customHeight="1" thickBot="1">
      <c r="A8" s="545"/>
      <c r="B8" s="1166" t="s">
        <v>66</v>
      </c>
      <c r="C8" s="1210"/>
      <c r="D8" s="1210"/>
      <c r="E8" s="1210"/>
      <c r="F8" s="1211"/>
      <c r="G8" s="545"/>
      <c r="H8" s="555"/>
      <c r="I8" s="559"/>
      <c r="J8" s="1213" t="s">
        <v>67</v>
      </c>
      <c r="K8" s="1214"/>
      <c r="L8" s="545"/>
      <c r="M8" s="559"/>
      <c r="N8" s="559"/>
      <c r="O8" s="545"/>
      <c r="P8" s="545"/>
      <c r="Q8" s="560"/>
      <c r="R8" s="559"/>
      <c r="X8" s="555"/>
    </row>
    <row r="9" spans="1:24" s="559" customFormat="1" ht="26.1" customHeight="1" thickBot="1">
      <c r="A9" s="545"/>
      <c r="B9" s="1164" t="s">
        <v>68</v>
      </c>
      <c r="C9" s="1206"/>
      <c r="D9" s="1207"/>
      <c r="E9" s="1208"/>
      <c r="F9" s="1209"/>
      <c r="G9" s="545"/>
      <c r="H9" s="560"/>
      <c r="I9" s="545"/>
      <c r="J9" s="1215" t="s">
        <v>69</v>
      </c>
      <c r="K9" s="1216"/>
      <c r="L9" s="545"/>
      <c r="M9" s="545"/>
      <c r="N9" s="545"/>
      <c r="O9" s="545"/>
      <c r="P9" s="545"/>
      <c r="Q9" s="547"/>
      <c r="T9" s="1218" t="s">
        <v>70</v>
      </c>
      <c r="U9" s="1219"/>
      <c r="V9" s="545"/>
      <c r="W9" s="545"/>
      <c r="X9" s="547"/>
    </row>
    <row r="10" spans="1:24" ht="14.45" customHeight="1" thickBot="1">
      <c r="B10" s="1212" t="s">
        <v>71</v>
      </c>
      <c r="C10" s="1205"/>
      <c r="D10" s="1204" t="s">
        <v>72</v>
      </c>
      <c r="E10" s="1205"/>
      <c r="F10" s="561" t="s">
        <v>73</v>
      </c>
      <c r="J10" s="562" t="s">
        <v>74</v>
      </c>
      <c r="K10" s="563"/>
      <c r="Q10" s="564"/>
      <c r="T10" s="1220" t="s">
        <v>75</v>
      </c>
      <c r="U10" s="1221"/>
    </row>
    <row r="11" spans="1:24" ht="19.5" customHeight="1" thickBot="1">
      <c r="B11" s="1195">
        <f>IFERROR(IF(INSTRUCTIONS!$Q$7="Basic", 'Tradeoff Levers'!C8, ""), "")</f>
        <v>0</v>
      </c>
      <c r="C11" s="1196"/>
      <c r="D11" s="1197">
        <f>IFERROR(IF(INSTRUCTIONS!$Q$7="Basic", 'Tradeoff Levers'!C9, ""), "")</f>
        <v>0</v>
      </c>
      <c r="E11" s="1198"/>
      <c r="F11" s="655">
        <f>IFERROR(IF(INSTRUCTIONS!$Q$7="Basic", B11-D11, ""), "")</f>
        <v>0</v>
      </c>
      <c r="J11" s="565"/>
      <c r="K11" s="545"/>
      <c r="Q11" s="564"/>
      <c r="T11" s="566" t="s">
        <v>76</v>
      </c>
      <c r="U11" s="567"/>
    </row>
    <row r="12" spans="1:24" ht="30.6" customHeight="1" thickBot="1">
      <c r="J12" s="1202" t="s">
        <v>60</v>
      </c>
      <c r="K12" s="1203"/>
      <c r="M12"/>
      <c r="N12"/>
      <c r="Q12" s="564"/>
      <c r="T12" s="566" t="s">
        <v>77</v>
      </c>
      <c r="U12" s="568"/>
    </row>
    <row r="13" spans="1:24" ht="30" customHeight="1" thickBot="1">
      <c r="B13" s="1166" t="s">
        <v>78</v>
      </c>
      <c r="C13" s="1166"/>
      <c r="D13" s="1166"/>
      <c r="E13" s="1166"/>
      <c r="F13" s="1167"/>
      <c r="J13" s="1193" t="s">
        <v>79</v>
      </c>
      <c r="K13" s="1194"/>
      <c r="M13"/>
      <c r="N13"/>
      <c r="Q13" s="569"/>
      <c r="T13" s="566" t="s">
        <v>80</v>
      </c>
      <c r="U13" s="568"/>
    </row>
    <row r="14" spans="1:24" ht="29.45" customHeight="1">
      <c r="A14" s="558"/>
      <c r="B14" s="1164" t="s">
        <v>81</v>
      </c>
      <c r="C14" s="1164"/>
      <c r="D14" s="1164"/>
      <c r="E14" s="1164"/>
      <c r="F14" s="1165"/>
      <c r="G14" s="558"/>
      <c r="J14" s="1066"/>
      <c r="K14" s="1067" t="s">
        <v>82</v>
      </c>
      <c r="M14"/>
      <c r="N14"/>
      <c r="Q14" s="569"/>
      <c r="T14" s="566" t="s">
        <v>83</v>
      </c>
      <c r="U14" s="567"/>
      <c r="V14" s="572"/>
    </row>
    <row r="15" spans="1:24" ht="30.95" customHeight="1" thickBot="1">
      <c r="A15" s="558"/>
      <c r="B15" s="576" t="s">
        <v>84</v>
      </c>
      <c r="C15" s="1199" t="s">
        <v>85</v>
      </c>
      <c r="D15" s="1199"/>
      <c r="E15" s="1200" t="s">
        <v>86</v>
      </c>
      <c r="F15" s="1201"/>
      <c r="G15" s="558"/>
      <c r="J15" s="570" t="s">
        <v>87</v>
      </c>
      <c r="K15" s="567"/>
      <c r="M15"/>
      <c r="N15"/>
      <c r="Q15" s="569"/>
      <c r="T15" s="574" t="s">
        <v>88</v>
      </c>
      <c r="U15" s="575"/>
      <c r="V15" s="572"/>
    </row>
    <row r="16" spans="1:24" ht="27" customHeight="1">
      <c r="A16" s="559"/>
      <c r="B16" s="579" t="s">
        <v>89</v>
      </c>
      <c r="C16" s="1135">
        <f>IF(INSTRUCTIONS!$Q$7="Basic", 'Basic Teacher Analysis'!$M$4, "")</f>
        <v>0</v>
      </c>
      <c r="D16" s="1135"/>
      <c r="E16" s="1135">
        <f>IF(INSTRUCTIONS!$Q$7="Basic", 'Basic Teacher Analysis'!$N$4, "")</f>
        <v>0</v>
      </c>
      <c r="F16" s="1136"/>
      <c r="G16" s="559"/>
      <c r="J16" s="573" t="s">
        <v>90</v>
      </c>
      <c r="K16" s="567"/>
      <c r="M16"/>
      <c r="N16"/>
      <c r="Q16" s="569"/>
    </row>
    <row r="17" spans="2:17" ht="27.95" customHeight="1" thickBot="1">
      <c r="B17" s="579" t="s">
        <v>91</v>
      </c>
      <c r="C17" s="1135">
        <f>IFERROR(IF(INSTRUCTIONS!$Q$7="Basic", 'Basic Teacher Analysis'!$M$33, ""), 0)</f>
        <v>0</v>
      </c>
      <c r="D17" s="1135"/>
      <c r="E17" s="1135">
        <f>IFERROR(IF(INSTRUCTIONS!$Q$7="Basic", 'Basic Teacher Analysis'!$N$33, ""), 0)</f>
        <v>0</v>
      </c>
      <c r="F17" s="1136"/>
      <c r="J17" s="577" t="s">
        <v>92</v>
      </c>
      <c r="K17" s="578"/>
      <c r="M17"/>
      <c r="N17"/>
      <c r="Q17" s="569"/>
    </row>
    <row r="18" spans="2:17" ht="27.95" customHeight="1" thickBot="1">
      <c r="B18" s="579" t="s">
        <v>93</v>
      </c>
      <c r="C18" s="1135">
        <f>IF(INSTRUCTIONS!$Q$7="Basic", 'Basic Teacher Analysis'!$M$48, "")</f>
        <v>0</v>
      </c>
      <c r="D18" s="1135"/>
      <c r="E18" s="1135">
        <f>IF(INSTRUCTIONS!$Q$7="Basic", 'Basic Teacher Analysis'!$N$48, "")</f>
        <v>0</v>
      </c>
      <c r="F18" s="1136"/>
      <c r="J18" s="580"/>
      <c r="K18" s="1068" t="str">
        <f>IF(SUM(K15:K17)&lt;&gt;1,"Total percentage must equal 100%.","")</f>
        <v>Total percentage must equal 100%.</v>
      </c>
      <c r="N18" s="571"/>
      <c r="Q18" s="569"/>
    </row>
    <row r="19" spans="2:17" ht="17.100000000000001" customHeight="1">
      <c r="B19" s="579" t="s">
        <v>94</v>
      </c>
      <c r="C19" s="1135">
        <f>IF(INSTRUCTIONS!$Q$7="Basic", 'Basic Teacher Analysis'!$M$52, "")</f>
        <v>0</v>
      </c>
      <c r="D19" s="1135"/>
      <c r="E19" s="1135">
        <f>IF(INSTRUCTIONS!$Q$7="Basic", 'Basic Teacher Analysis'!$N$52, "")</f>
        <v>0</v>
      </c>
      <c r="F19" s="1136"/>
      <c r="J19" s="1190" t="s">
        <v>62</v>
      </c>
      <c r="K19" s="1191"/>
      <c r="L19" s="1191"/>
      <c r="M19" s="1192"/>
      <c r="N19" s="571"/>
      <c r="Q19" s="569"/>
    </row>
    <row r="20" spans="2:17" ht="15" customHeight="1">
      <c r="B20" s="579" t="s">
        <v>95</v>
      </c>
      <c r="C20" s="1137">
        <f>IF(INSTRUCTIONS!$Q$7="Basic", 'Basic Teacher Analysis'!M59, "")</f>
        <v>0</v>
      </c>
      <c r="D20" s="1138"/>
      <c r="E20" s="1137">
        <f>IF(INSTRUCTIONS!$Q$7="Basic", 'Basic Teacher Analysis'!N59, "")</f>
        <v>0</v>
      </c>
      <c r="F20" s="1139"/>
      <c r="J20" s="1170" t="s">
        <v>96</v>
      </c>
      <c r="K20" s="1171"/>
      <c r="L20" s="1171"/>
      <c r="M20" s="1172"/>
      <c r="N20" s="571"/>
      <c r="Q20" s="569"/>
    </row>
    <row r="21" spans="2:17" ht="27" customHeight="1">
      <c r="B21" s="579" t="s">
        <v>97</v>
      </c>
      <c r="C21" s="1135">
        <f>IF(INSTRUCTIONS!$Q$7="Basic", 'Basic Teacher Analysis'!$M$66, "")</f>
        <v>0</v>
      </c>
      <c r="D21" s="1135"/>
      <c r="E21" s="1135">
        <f>IF(INSTRUCTIONS!$Q$7="Basic", 'Basic Teacher Analysis'!$N$66, "")</f>
        <v>0</v>
      </c>
      <c r="F21" s="1136"/>
      <c r="J21" s="651" t="s">
        <v>98</v>
      </c>
      <c r="K21" s="582" t="s">
        <v>82</v>
      </c>
      <c r="L21" s="583" t="s">
        <v>99</v>
      </c>
      <c r="M21" s="584" t="s">
        <v>100</v>
      </c>
      <c r="N21" s="571"/>
    </row>
    <row r="22" spans="2:17">
      <c r="B22" s="579" t="s">
        <v>101</v>
      </c>
      <c r="C22" s="1135">
        <f>IF(INSTRUCTIONS!$Q$7="Basic", 'Basic Teacher Analysis'!$M$87, "")</f>
        <v>0</v>
      </c>
      <c r="D22" s="1135"/>
      <c r="E22" s="1135">
        <f>IF(INSTRUCTIONS!$Q$7="Basic", 'Basic Teacher Analysis'!$N$87, "")</f>
        <v>0</v>
      </c>
      <c r="F22" s="1136"/>
      <c r="J22" s="585" t="s">
        <v>102</v>
      </c>
      <c r="K22" s="586"/>
      <c r="L22" s="587"/>
      <c r="M22" s="588"/>
    </row>
    <row r="23" spans="2:17">
      <c r="B23" s="579" t="s">
        <v>103</v>
      </c>
      <c r="C23" s="1135">
        <f>IFERROR(IF(INSTRUCTIONS!$Q$7="Basic", 'Basic Teacher Analysis'!$M$91, ""), 0)</f>
        <v>0</v>
      </c>
      <c r="D23" s="1135"/>
      <c r="E23" s="1135" t="str">
        <f>IFERROR(IF(INSTRUCTIONS!$Q$7="Basic", 'Basic Teacher Analysis'!$N$91, ""), "")</f>
        <v/>
      </c>
      <c r="F23" s="1136"/>
      <c r="J23" s="589" t="s">
        <v>104</v>
      </c>
      <c r="K23" s="586"/>
      <c r="L23" s="590"/>
      <c r="M23" s="591"/>
    </row>
    <row r="24" spans="2:17" ht="30.95" customHeight="1" thickBot="1">
      <c r="B24" s="1033" t="s">
        <v>105</v>
      </c>
      <c r="C24" s="1133">
        <f>IFERROR(IF(INSTRUCTIONS!$Q$7="Basic", 'Basic Teacher Analysis'!$M$93, ""), 0)</f>
        <v>0</v>
      </c>
      <c r="D24" s="1133"/>
      <c r="E24" s="1133">
        <f>IFERROR(IF(INSTRUCTIONS!$Q$7="Basic", 'Basic Teacher Analysis'!$N$93, ""), 0)</f>
        <v>0</v>
      </c>
      <c r="F24" s="1134"/>
      <c r="J24" s="592" t="s">
        <v>106</v>
      </c>
      <c r="K24" s="593"/>
      <c r="L24" s="594"/>
      <c r="M24" s="595"/>
    </row>
    <row r="25" spans="2:17" ht="27.6" customHeight="1" thickBot="1">
      <c r="B25" s="1185" t="s">
        <v>107</v>
      </c>
      <c r="C25" s="1186"/>
      <c r="D25" s="1187"/>
      <c r="E25" s="1188">
        <f>IF(INSTRUCTIONS!$Q$7="Basic", E24-C24, "")</f>
        <v>0</v>
      </c>
      <c r="F25" s="1189"/>
      <c r="K25" s="1068" t="str">
        <f>IF(SUM(K22:K24)&lt;&gt;1,"Total percentage must equal 100%.","")</f>
        <v>Total percentage must equal 100%.</v>
      </c>
    </row>
    <row r="26" spans="2:17" ht="29.1" customHeight="1" thickBot="1">
      <c r="B26" s="597"/>
      <c r="C26" s="597"/>
      <c r="D26" s="597"/>
      <c r="E26" s="597"/>
      <c r="F26" s="1027"/>
    </row>
    <row r="27" spans="2:17" ht="19.5" customHeight="1" thickBot="1">
      <c r="B27" s="1166" t="s">
        <v>108</v>
      </c>
      <c r="C27" s="1166"/>
      <c r="D27" s="1166"/>
      <c r="E27" s="1166"/>
      <c r="F27" s="1167"/>
      <c r="J27" s="1176" t="s">
        <v>109</v>
      </c>
      <c r="K27" s="1177"/>
      <c r="L27" s="1178"/>
    </row>
    <row r="28" spans="2:17" ht="23.45" customHeight="1">
      <c r="B28" s="1164" t="s">
        <v>110</v>
      </c>
      <c r="C28" s="1164"/>
      <c r="D28" s="1164"/>
      <c r="E28" s="1164"/>
      <c r="F28" s="1165"/>
      <c r="J28" s="1173" t="s">
        <v>111</v>
      </c>
      <c r="K28" s="1174"/>
      <c r="L28" s="1175"/>
    </row>
    <row r="29" spans="2:17" ht="28.5" customHeight="1">
      <c r="B29" s="600" t="s">
        <v>112</v>
      </c>
      <c r="C29" s="1244" t="s">
        <v>85</v>
      </c>
      <c r="D29" s="1244"/>
      <c r="E29" s="1204" t="s">
        <v>86</v>
      </c>
      <c r="F29" s="1245"/>
      <c r="J29" s="581"/>
      <c r="K29" s="598" t="s">
        <v>85</v>
      </c>
      <c r="L29" s="599" t="s">
        <v>86</v>
      </c>
    </row>
    <row r="30" spans="2:17" ht="29.45" customHeight="1">
      <c r="B30" s="602" t="s">
        <v>89</v>
      </c>
      <c r="C30" s="1247">
        <f>IF(INSTRUCTIONS!$Q$7="Basic", K30, "")</f>
        <v>0</v>
      </c>
      <c r="D30" s="1247"/>
      <c r="E30" s="1247">
        <f>IF(INSTRUCTIONS!$Q$7="Basic", L30, "")</f>
        <v>0</v>
      </c>
      <c r="F30" s="1248"/>
      <c r="J30" s="579" t="s">
        <v>113</v>
      </c>
      <c r="K30" s="590"/>
      <c r="L30" s="601"/>
    </row>
    <row r="31" spans="2:17" ht="42.95" customHeight="1">
      <c r="B31" s="579" t="s">
        <v>114</v>
      </c>
      <c r="C31" s="1137">
        <f>IFERROR(IF(INSTRUCTIONS!$Q$7="Basic", 'Basic Teacher Analysis'!$M$95, ""), 0)</f>
        <v>0</v>
      </c>
      <c r="D31" s="1137"/>
      <c r="E31" s="1137">
        <f>IFERROR(IF(INSTRUCTIONS!$Q$7="Basic", 'Basic Teacher Analysis'!$N$95, ""), 0)</f>
        <v>0</v>
      </c>
      <c r="F31" s="1136"/>
      <c r="J31" s="579" t="s">
        <v>115</v>
      </c>
      <c r="K31" s="590"/>
      <c r="L31" s="588"/>
    </row>
    <row r="32" spans="2:17" ht="27.6" customHeight="1">
      <c r="B32" s="600" t="s">
        <v>116</v>
      </c>
      <c r="C32" s="603" t="s">
        <v>82</v>
      </c>
      <c r="D32" s="603" t="s">
        <v>117</v>
      </c>
      <c r="E32" s="603" t="s">
        <v>82</v>
      </c>
      <c r="F32" s="604" t="s">
        <v>117</v>
      </c>
      <c r="J32" s="579" t="s">
        <v>118</v>
      </c>
      <c r="K32" s="590"/>
      <c r="L32" s="588"/>
    </row>
    <row r="33" spans="2:17" ht="32.1" customHeight="1" thickBot="1">
      <c r="B33" s="579" t="s">
        <v>119</v>
      </c>
      <c r="C33" s="656">
        <f>IF(INSTRUCTIONS!$Q$7="Basic", IF($K$83&gt;0, $K$82, 0), "")</f>
        <v>0</v>
      </c>
      <c r="D33" s="657">
        <f>IF(INSTRUCTIONS!$Q$7="Basic", $K$83, "")</f>
        <v>0</v>
      </c>
      <c r="E33" s="658">
        <f>IF(INSTRUCTIONS!$Q$7="Basic", IF($L$83&gt;0, L82, 0), "")</f>
        <v>0</v>
      </c>
      <c r="F33" s="659">
        <f>IF(INSTRUCTIONS!$Q$7="Basic", $L$83, "")</f>
        <v>0</v>
      </c>
      <c r="J33" s="605" t="s">
        <v>120</v>
      </c>
      <c r="K33" s="606"/>
      <c r="L33" s="607"/>
    </row>
    <row r="34" spans="2:17" ht="29.45" customHeight="1" thickBot="1">
      <c r="B34" s="579" t="s">
        <v>121</v>
      </c>
      <c r="C34" s="656">
        <f>IF(INSTRUCTIONS!$Q$7="Basic", IF($K$87&gt;0, $K$86, 0), "")</f>
        <v>0</v>
      </c>
      <c r="D34" s="657">
        <f>IF(INSTRUCTIONS!$Q$7="Basic", $K$87, "")</f>
        <v>0</v>
      </c>
      <c r="E34" s="658">
        <f>IF(INSTRUCTIONS!$Q$7="Basic", IF($L$87&gt;0,L86, 0), "")</f>
        <v>0</v>
      </c>
      <c r="F34" s="659">
        <f>IF(INSTRUCTIONS!$Q$7="Basic", $L$87, "")</f>
        <v>0</v>
      </c>
      <c r="J34" s="608"/>
      <c r="K34" s="545"/>
    </row>
    <row r="35" spans="2:17" ht="19.5" customHeight="1">
      <c r="B35" s="579" t="s">
        <v>122</v>
      </c>
      <c r="C35" s="656">
        <f>IF(INSTRUCTIONS!$Q$7="Basic", IF($K$65&gt;0, $K$64, 0), "")</f>
        <v>0</v>
      </c>
      <c r="D35" s="657">
        <f>IF(INSTRUCTIONS!$Q$7="Basic", $K$65, "")</f>
        <v>0</v>
      </c>
      <c r="E35" s="658">
        <f>IF(INSTRUCTIONS!$Q$7="Basic", IF($L$65&gt;0, $L$64, 0), "")</f>
        <v>0</v>
      </c>
      <c r="F35" s="659">
        <f>IF(INSTRUCTIONS!$Q$7="Basic", $L$65, "")</f>
        <v>0</v>
      </c>
      <c r="J35" s="1182" t="s">
        <v>123</v>
      </c>
      <c r="K35" s="1183"/>
      <c r="L35" s="1184"/>
    </row>
    <row r="36" spans="2:17" ht="23.1" customHeight="1" thickBot="1">
      <c r="B36" s="592" t="s">
        <v>101</v>
      </c>
      <c r="C36" s="660">
        <f>IF(INSTRUCTIONS!$Q$7="Basic", SUMIF(L45:L53, "&gt;1", K45:K53), "")</f>
        <v>0</v>
      </c>
      <c r="D36" s="661">
        <f>IFERROR(IF(INSTRUCTIONS!$Q$7="Basic", AVERAGE(L45:L53), ""), 0)</f>
        <v>0</v>
      </c>
      <c r="E36" s="662">
        <f>IF(INSTRUCTIONS!$Q$7="Basic", SUMIF(M45:M53, "&gt;1", K45:K53), "")</f>
        <v>0</v>
      </c>
      <c r="F36" s="663">
        <f>IFERROR(IF(INSTRUCTIONS!$Q$7="Basic", AVERAGE(M45:M53), ""), 0)</f>
        <v>0</v>
      </c>
      <c r="J36" s="1179" t="s">
        <v>124</v>
      </c>
      <c r="K36" s="1180"/>
      <c r="L36" s="1181"/>
    </row>
    <row r="37" spans="2:17" ht="43.5" customHeight="1">
      <c r="J37" s="579" t="s">
        <v>125</v>
      </c>
      <c r="K37" s="609"/>
      <c r="L37" s="591"/>
      <c r="Q37" s="569"/>
    </row>
    <row r="38" spans="2:17" ht="42.6" customHeight="1">
      <c r="B38" s="1249" t="s">
        <v>126</v>
      </c>
      <c r="C38" s="1249"/>
      <c r="D38" s="1249"/>
      <c r="E38" s="1249"/>
      <c r="J38" s="610" t="s">
        <v>127</v>
      </c>
      <c r="K38" s="609"/>
      <c r="L38" s="591"/>
      <c r="Q38" s="569"/>
    </row>
    <row r="39" spans="2:17" ht="44.1" customHeight="1" thickBot="1">
      <c r="B39" s="1235" t="s">
        <v>128</v>
      </c>
      <c r="C39" s="1236"/>
      <c r="D39" s="1236"/>
      <c r="E39" s="1237"/>
      <c r="F39"/>
      <c r="J39" s="592" t="s">
        <v>129</v>
      </c>
      <c r="K39" s="611"/>
      <c r="L39" s="595"/>
      <c r="Q39" s="569"/>
    </row>
    <row r="40" spans="2:17" ht="21" customHeight="1" thickBot="1">
      <c r="B40" s="1238"/>
      <c r="C40" s="1239"/>
      <c r="D40" s="1239"/>
      <c r="E40" s="1240"/>
      <c r="J40" s="545"/>
      <c r="K40" s="545"/>
      <c r="Q40" s="569"/>
    </row>
    <row r="41" spans="2:17" ht="24" customHeight="1">
      <c r="B41" s="1241"/>
      <c r="C41" s="1242"/>
      <c r="D41" s="1242"/>
      <c r="E41" s="1243"/>
      <c r="J41" s="1148" t="s">
        <v>130</v>
      </c>
      <c r="K41" s="1149"/>
      <c r="L41" s="1149"/>
      <c r="M41" s="1150"/>
      <c r="Q41" s="569"/>
    </row>
    <row r="42" spans="2:17" ht="37.5" customHeight="1">
      <c r="B42" s="1250"/>
      <c r="C42" s="1251"/>
      <c r="D42" s="612" t="s">
        <v>85</v>
      </c>
      <c r="E42" s="612" t="s">
        <v>86</v>
      </c>
      <c r="J42" s="1145" t="s">
        <v>131</v>
      </c>
      <c r="K42" s="1146"/>
      <c r="L42" s="1146"/>
      <c r="M42" s="1147"/>
      <c r="Q42" s="569"/>
    </row>
    <row r="43" spans="2:17">
      <c r="B43" s="1246" t="s">
        <v>132</v>
      </c>
      <c r="C43" s="1246"/>
      <c r="D43" s="1011">
        <f>IFERROR(IF(INSTRUCTIONS!$Q$7="Basic", 'Basic Teacher Analysis'!$R$108, ""), 0)</f>
        <v>0</v>
      </c>
      <c r="E43" s="1011">
        <f>IFERROR(IF(INSTRUCTIONS!$Q$7="Basic", 'Basic Teacher Analysis'!$R$102, ""), 0)</f>
        <v>0</v>
      </c>
      <c r="J43" s="613" t="s">
        <v>133</v>
      </c>
      <c r="K43" s="598" t="s">
        <v>82</v>
      </c>
      <c r="L43" s="614" t="s">
        <v>99</v>
      </c>
      <c r="M43" s="584" t="s">
        <v>100</v>
      </c>
    </row>
    <row r="44" spans="2:17">
      <c r="B44" s="1234" t="s">
        <v>134</v>
      </c>
      <c r="C44" s="1234"/>
      <c r="D44" s="1233">
        <f>IF(INSTRUCTIONS!$Q$7="Basic", E43-D43, "")</f>
        <v>0</v>
      </c>
      <c r="E44" s="1233"/>
      <c r="J44" s="615"/>
      <c r="K44" s="616"/>
      <c r="L44" s="1073"/>
      <c r="M44" s="1074"/>
      <c r="Q44" s="619"/>
    </row>
    <row r="45" spans="2:17">
      <c r="J45" s="617"/>
      <c r="K45" s="618"/>
      <c r="L45" s="590"/>
      <c r="M45" s="591"/>
      <c r="Q45" s="619"/>
    </row>
    <row r="46" spans="2:17">
      <c r="J46" s="620"/>
      <c r="K46" s="618"/>
      <c r="L46" s="590"/>
      <c r="M46" s="591"/>
      <c r="Q46" s="619"/>
    </row>
    <row r="47" spans="2:17">
      <c r="J47" s="621"/>
      <c r="K47" s="618"/>
      <c r="L47" s="590"/>
      <c r="M47" s="591"/>
      <c r="Q47" s="619"/>
    </row>
    <row r="48" spans="2:17">
      <c r="J48" s="622"/>
      <c r="K48" s="618"/>
      <c r="L48" s="590"/>
      <c r="M48" s="591"/>
      <c r="Q48" s="619"/>
    </row>
    <row r="49" spans="10:17">
      <c r="J49" s="622"/>
      <c r="K49" s="618"/>
      <c r="L49" s="590"/>
      <c r="M49" s="591"/>
      <c r="Q49" s="619"/>
    </row>
    <row r="50" spans="10:17">
      <c r="J50" s="622"/>
      <c r="K50" s="618"/>
      <c r="L50" s="590"/>
      <c r="M50" s="591"/>
      <c r="Q50" s="619"/>
    </row>
    <row r="51" spans="10:17">
      <c r="J51" s="622"/>
      <c r="K51" s="618"/>
      <c r="L51" s="590"/>
      <c r="M51" s="591"/>
      <c r="Q51" s="619"/>
    </row>
    <row r="52" spans="10:17">
      <c r="J52" s="622"/>
      <c r="K52" s="618"/>
      <c r="L52" s="590"/>
      <c r="M52" s="591"/>
      <c r="Q52" s="619"/>
    </row>
    <row r="53" spans="10:17" ht="15" thickBot="1">
      <c r="J53" s="623"/>
      <c r="K53" s="606"/>
      <c r="L53" s="594"/>
      <c r="M53" s="595"/>
      <c r="Q53" s="619"/>
    </row>
    <row r="54" spans="10:17" ht="15" thickBot="1">
      <c r="J54" s="545"/>
      <c r="K54" s="289" t="str">
        <f>IF(SUM(K44:K53)&lt;&gt;1,"Total percentage must equal 100%.","")</f>
        <v>Total percentage must equal 100%.</v>
      </c>
      <c r="Q54" s="619"/>
    </row>
    <row r="55" spans="10:17" ht="27.95" customHeight="1">
      <c r="J55" s="1148" t="s">
        <v>135</v>
      </c>
      <c r="K55" s="1149"/>
      <c r="L55" s="1150"/>
      <c r="Q55" s="619"/>
    </row>
    <row r="56" spans="10:17" ht="24.95" customHeight="1">
      <c r="J56" s="1145" t="s">
        <v>136</v>
      </c>
      <c r="K56" s="1146"/>
      <c r="L56" s="1147"/>
      <c r="M56" s="624"/>
      <c r="Q56" s="619"/>
    </row>
    <row r="57" spans="10:17" ht="42.95" customHeight="1">
      <c r="J57" s="625"/>
      <c r="K57" s="626" t="s">
        <v>85</v>
      </c>
      <c r="L57" s="599" t="s">
        <v>86</v>
      </c>
      <c r="M57" s="624"/>
      <c r="Q57" s="619"/>
    </row>
    <row r="58" spans="10:17" ht="45" customHeight="1" thickBot="1">
      <c r="J58" s="1031" t="str">
        <f>CONCATENATE("Pay freeze for ineffective teachers (Yes/No)" )</f>
        <v>Pay freeze for ineffective teachers (Yes/No)</v>
      </c>
      <c r="K58" s="628"/>
      <c r="L58" s="629"/>
      <c r="M58" s="624"/>
      <c r="Q58" s="630"/>
    </row>
    <row r="59" spans="10:17">
      <c r="J59" s="545"/>
      <c r="K59" s="545"/>
      <c r="Q59" s="630"/>
    </row>
    <row r="60" spans="10:17" ht="15" thickBot="1">
      <c r="K60" s="631"/>
      <c r="M60" s="632"/>
      <c r="Q60" s="630"/>
    </row>
    <row r="61" spans="10:17" ht="18.600000000000001" customHeight="1">
      <c r="J61" s="1151" t="s">
        <v>137</v>
      </c>
      <c r="K61" s="1152"/>
      <c r="L61" s="1153"/>
    </row>
    <row r="62" spans="10:17" ht="51.6" customHeight="1">
      <c r="J62" s="1154" t="s">
        <v>138</v>
      </c>
      <c r="K62" s="1155"/>
      <c r="L62" s="1156"/>
      <c r="Q62" s="630"/>
    </row>
    <row r="63" spans="10:17" ht="30" customHeight="1">
      <c r="J63" s="633"/>
      <c r="K63" s="634" t="s">
        <v>85</v>
      </c>
      <c r="L63" s="643" t="s">
        <v>86</v>
      </c>
      <c r="Q63" s="630"/>
    </row>
    <row r="64" spans="10:17">
      <c r="J64" s="585" t="s">
        <v>82</v>
      </c>
      <c r="K64" s="635"/>
      <c r="L64" s="636"/>
      <c r="Q64" s="630"/>
    </row>
    <row r="65" spans="10:18" ht="29.45" thickBot="1">
      <c r="J65" s="574" t="s">
        <v>139</v>
      </c>
      <c r="K65" s="637"/>
      <c r="L65" s="638"/>
      <c r="Q65" s="630"/>
    </row>
    <row r="66" spans="10:18" ht="18.600000000000001" customHeight="1" thickBot="1">
      <c r="J66" s="565"/>
      <c r="K66" s="639"/>
      <c r="L66" s="639"/>
      <c r="Q66" s="630"/>
      <c r="R66" s="549"/>
    </row>
    <row r="67" spans="10:18" ht="18.95" customHeight="1">
      <c r="J67" s="1151" t="s">
        <v>140</v>
      </c>
      <c r="K67" s="1152"/>
      <c r="L67" s="1152"/>
      <c r="M67" s="1152"/>
      <c r="N67" s="1153"/>
      <c r="Q67" s="630"/>
      <c r="R67" s="640"/>
    </row>
    <row r="68" spans="10:18" ht="18.95" customHeight="1">
      <c r="J68" s="1157" t="s">
        <v>141</v>
      </c>
      <c r="K68" s="1158"/>
      <c r="L68" s="1158"/>
      <c r="M68" s="1158"/>
      <c r="N68" s="1159"/>
    </row>
    <row r="69" spans="10:18" ht="26.45" customHeight="1">
      <c r="J69" s="641"/>
      <c r="K69" s="1160" t="s">
        <v>85</v>
      </c>
      <c r="L69" s="1161"/>
      <c r="M69" s="1162" t="s">
        <v>86</v>
      </c>
      <c r="N69" s="1163"/>
      <c r="Q69" s="630"/>
    </row>
    <row r="70" spans="10:18">
      <c r="J70" s="642" t="s">
        <v>142</v>
      </c>
      <c r="K70" s="634" t="s">
        <v>143</v>
      </c>
      <c r="L70" s="634" t="s">
        <v>144</v>
      </c>
      <c r="M70" s="634" t="s">
        <v>143</v>
      </c>
      <c r="N70" s="643" t="s">
        <v>144</v>
      </c>
    </row>
    <row r="71" spans="10:18">
      <c r="J71" s="644"/>
      <c r="K71" s="645"/>
      <c r="L71" s="646"/>
      <c r="M71" s="645"/>
      <c r="N71" s="647"/>
    </row>
    <row r="72" spans="10:18">
      <c r="J72" s="644"/>
      <c r="K72" s="645"/>
      <c r="L72" s="646"/>
      <c r="M72" s="645"/>
      <c r="N72" s="647"/>
    </row>
    <row r="73" spans="10:18">
      <c r="J73" s="644"/>
      <c r="K73" s="645"/>
      <c r="L73" s="646"/>
      <c r="M73" s="645"/>
      <c r="N73" s="647"/>
    </row>
    <row r="74" spans="10:18">
      <c r="J74" s="644"/>
      <c r="K74" s="645"/>
      <c r="L74" s="646"/>
      <c r="M74" s="645"/>
      <c r="N74" s="647"/>
    </row>
    <row r="75" spans="10:18" ht="15" thickBot="1">
      <c r="J75" s="648"/>
      <c r="K75" s="649"/>
      <c r="L75" s="594"/>
      <c r="M75" s="649"/>
      <c r="N75" s="595"/>
    </row>
    <row r="76" spans="10:18">
      <c r="J76" s="565"/>
      <c r="K76" s="639"/>
      <c r="L76" s="639"/>
    </row>
    <row r="77" spans="10:18" ht="15" thickBot="1">
      <c r="J77" s="545"/>
      <c r="K77" s="545"/>
    </row>
    <row r="78" spans="10:18">
      <c r="J78" s="1168" t="s">
        <v>63</v>
      </c>
      <c r="K78" s="1168"/>
      <c r="L78" s="1169"/>
    </row>
    <row r="79" spans="10:18">
      <c r="J79" s="1140" t="s">
        <v>145</v>
      </c>
      <c r="K79" s="1140"/>
      <c r="L79" s="1141"/>
    </row>
    <row r="80" spans="10:18">
      <c r="J80" s="1142" t="s">
        <v>146</v>
      </c>
      <c r="K80" s="1143"/>
      <c r="L80" s="1144"/>
    </row>
    <row r="81" spans="10:13">
      <c r="J81" s="650"/>
      <c r="K81" s="598" t="s">
        <v>85</v>
      </c>
      <c r="L81" s="599" t="s">
        <v>86</v>
      </c>
    </row>
    <row r="82" spans="10:13">
      <c r="J82" s="651" t="s">
        <v>82</v>
      </c>
      <c r="K82" s="635"/>
      <c r="L82" s="652"/>
    </row>
    <row r="83" spans="10:13" ht="27" customHeight="1" thickBot="1">
      <c r="J83" s="627" t="s">
        <v>139</v>
      </c>
      <c r="K83" s="637"/>
      <c r="L83" s="595"/>
    </row>
    <row r="84" spans="10:13">
      <c r="J84" s="1142" t="s">
        <v>147</v>
      </c>
      <c r="K84" s="1143"/>
      <c r="L84" s="1144"/>
    </row>
    <row r="85" spans="10:13">
      <c r="J85" s="602"/>
      <c r="K85" s="634" t="s">
        <v>85</v>
      </c>
      <c r="L85" s="643" t="s">
        <v>86</v>
      </c>
    </row>
    <row r="86" spans="10:13">
      <c r="J86" s="651" t="s">
        <v>82</v>
      </c>
      <c r="K86" s="618"/>
      <c r="L86" s="567"/>
    </row>
    <row r="87" spans="10:13" ht="29.45" thickBot="1">
      <c r="J87" s="627" t="s">
        <v>139</v>
      </c>
      <c r="K87" s="594"/>
      <c r="L87" s="595"/>
    </row>
    <row r="88" spans="10:13">
      <c r="J88" s="565"/>
      <c r="K88" s="545"/>
      <c r="M88" s="565"/>
    </row>
    <row r="107" spans="10:13">
      <c r="M107" s="624"/>
    </row>
    <row r="108" spans="10:13">
      <c r="J108" s="545"/>
      <c r="M108" s="624"/>
    </row>
    <row r="109" spans="10:13">
      <c r="J109" s="545"/>
      <c r="K109" s="545"/>
    </row>
    <row r="110" spans="10:13">
      <c r="J110" s="545"/>
      <c r="K110" s="545"/>
    </row>
    <row r="111" spans="10:13">
      <c r="J111" s="545"/>
      <c r="K111" s="545"/>
    </row>
    <row r="112" spans="10:13">
      <c r="J112" s="545"/>
      <c r="K112" s="545"/>
    </row>
    <row r="113" spans="10:13">
      <c r="J113" s="545"/>
      <c r="K113" s="545"/>
    </row>
    <row r="114" spans="10:13">
      <c r="J114" s="545"/>
      <c r="K114" s="545"/>
    </row>
    <row r="115" spans="10:13">
      <c r="J115" s="545"/>
      <c r="K115" s="545"/>
    </row>
    <row r="116" spans="10:13">
      <c r="J116" s="545"/>
      <c r="K116" s="545"/>
    </row>
    <row r="117" spans="10:13">
      <c r="J117" s="545"/>
      <c r="K117" s="545"/>
    </row>
    <row r="118" spans="10:13">
      <c r="J118" s="545"/>
      <c r="K118" s="545"/>
    </row>
    <row r="119" spans="10:13">
      <c r="J119" s="545"/>
      <c r="K119" s="545"/>
    </row>
    <row r="120" spans="10:13">
      <c r="J120" s="545"/>
      <c r="K120" s="545"/>
    </row>
    <row r="121" spans="10:13">
      <c r="J121" s="545"/>
      <c r="K121" s="545"/>
    </row>
    <row r="122" spans="10:13">
      <c r="J122" s="653"/>
      <c r="L122" s="632"/>
      <c r="M122" s="654"/>
    </row>
    <row r="123" spans="10:13">
      <c r="K123" s="654"/>
      <c r="L123" s="654"/>
    </row>
  </sheetData>
  <sheetProtection algorithmName="SHA-512" hashValue="DG181XbuFwH3fC9J1yPXyqXJmYam9/FxxnfI/NL4wsqD5rYyIppppMXaoX6h+b6xkSnYNbg1CH1T+VrS58W7/w==" saltValue="ZNVeQU8nJuJyWqNC+z18AA==" spinCount="100000" sheet="1" objects="1" scenarios="1"/>
  <mergeCells count="76">
    <mergeCell ref="D44:E44"/>
    <mergeCell ref="B44:C44"/>
    <mergeCell ref="B39:E41"/>
    <mergeCell ref="B27:F27"/>
    <mergeCell ref="B28:F28"/>
    <mergeCell ref="C29:D29"/>
    <mergeCell ref="E29:F29"/>
    <mergeCell ref="B43:C43"/>
    <mergeCell ref="C30:D30"/>
    <mergeCell ref="C31:D31"/>
    <mergeCell ref="E30:F30"/>
    <mergeCell ref="E31:F31"/>
    <mergeCell ref="B38:E38"/>
    <mergeCell ref="B42:C42"/>
    <mergeCell ref="T2:V2"/>
    <mergeCell ref="D10:E10"/>
    <mergeCell ref="B9:F9"/>
    <mergeCell ref="B8:F8"/>
    <mergeCell ref="B10:C10"/>
    <mergeCell ref="J8:K8"/>
    <mergeCell ref="J9:K9"/>
    <mergeCell ref="L7:M7"/>
    <mergeCell ref="T9:U9"/>
    <mergeCell ref="T10:U10"/>
    <mergeCell ref="B3:F6"/>
    <mergeCell ref="J3:L6"/>
    <mergeCell ref="N2:O2"/>
    <mergeCell ref="T3:V6"/>
    <mergeCell ref="B11:C11"/>
    <mergeCell ref="D11:E11"/>
    <mergeCell ref="C15:D15"/>
    <mergeCell ref="E15:F15"/>
    <mergeCell ref="J12:K12"/>
    <mergeCell ref="C16:D16"/>
    <mergeCell ref="E16:F16"/>
    <mergeCell ref="B14:F14"/>
    <mergeCell ref="B13:F13"/>
    <mergeCell ref="J78:L78"/>
    <mergeCell ref="J41:M41"/>
    <mergeCell ref="J20:M20"/>
    <mergeCell ref="J28:L28"/>
    <mergeCell ref="J27:L27"/>
    <mergeCell ref="J36:L36"/>
    <mergeCell ref="J35:L35"/>
    <mergeCell ref="B25:D25"/>
    <mergeCell ref="E25:F25"/>
    <mergeCell ref="J19:M19"/>
    <mergeCell ref="J13:K13"/>
    <mergeCell ref="E17:F17"/>
    <mergeCell ref="J79:L79"/>
    <mergeCell ref="J80:L80"/>
    <mergeCell ref="J84:L84"/>
    <mergeCell ref="J42:M42"/>
    <mergeCell ref="J55:L55"/>
    <mergeCell ref="J56:L56"/>
    <mergeCell ref="J67:N67"/>
    <mergeCell ref="J61:L61"/>
    <mergeCell ref="J62:L62"/>
    <mergeCell ref="J68:N68"/>
    <mergeCell ref="K69:L69"/>
    <mergeCell ref="M69:N69"/>
    <mergeCell ref="E24:F24"/>
    <mergeCell ref="C19:D19"/>
    <mergeCell ref="E19:F19"/>
    <mergeCell ref="C17:D17"/>
    <mergeCell ref="C18:D18"/>
    <mergeCell ref="E18:F18"/>
    <mergeCell ref="C20:D20"/>
    <mergeCell ref="E20:F20"/>
    <mergeCell ref="C21:D21"/>
    <mergeCell ref="C22:D22"/>
    <mergeCell ref="C24:D24"/>
    <mergeCell ref="E21:F21"/>
    <mergeCell ref="E22:F22"/>
    <mergeCell ref="E23:F23"/>
    <mergeCell ref="C23:D23"/>
  </mergeCells>
  <conditionalFormatting sqref="K7">
    <cfRule type="cellIs" dxfId="57" priority="5" operator="equal">
      <formula>"Advanced"</formula>
    </cfRule>
    <cfRule type="cellIs" dxfId="56" priority="6" operator="equal">
      <formula>"Basic"</formula>
    </cfRule>
    <cfRule type="cellIs" dxfId="55" priority="7" operator="equal">
      <formula>"""Basic"""</formula>
    </cfRule>
  </conditionalFormatting>
  <conditionalFormatting sqref="L7">
    <cfRule type="cellIs" dxfId="54" priority="1" operator="equal">
      <formula>"ERROR: Ensure 'Basic' is selected in the INSTRUCTIONS tab if using this tab for teacher inputs"</formula>
    </cfRule>
  </conditionalFormatting>
  <conditionalFormatting sqref="M122 K123:L123">
    <cfRule type="containsText" dxfId="53" priority="8" operator="containsText" text="100">
      <formula>NOT(ISERROR(SEARCH("100",K122)))</formula>
    </cfRule>
    <cfRule type="cellIs" dxfId="52" priority="9" operator="equal">
      <formula>"""Total percentage must equal 100%."""</formula>
    </cfRule>
    <cfRule type="containsText" dxfId="51" priority="10" operator="containsText" text="&quot;Total percentage must equal 100%.&quot;">
      <formula>NOT(ISERROR(SEARCH("""Total percentage must equal 100%.""",K122)))</formula>
    </cfRule>
  </conditionalFormatting>
  <conditionalFormatting sqref="R3:R7">
    <cfRule type="cellIs" dxfId="50" priority="2" operator="equal">
      <formula>"ERROR: Ensure 'Basic' is selected in the INSTRUCTIONS tab if using this tab for teacher inputs"</formula>
    </cfRule>
    <cfRule type="cellIs" dxfId="49" priority="3" operator="equal">
      <formula>"ERROR: Ensure 'Basic' is selected if using this tab for teacher inputs"</formula>
    </cfRule>
  </conditionalFormatting>
  <dataValidations xWindow="1057" yWindow="713" count="9">
    <dataValidation allowBlank="1" showInputMessage="1" showErrorMessage="1" prompt="Note: Increasing pay more rapidly for novice teachers can improve retention." sqref="L37" xr:uid="{398BF479-980A-4C20-9DAE-AAE5B90CD7C8}"/>
    <dataValidation allowBlank="1" showInputMessage="1" showErrorMessage="1" prompt="The model assumes the average pay increase per year of service is the same for teachers with varying years of experience." sqref="K32" xr:uid="{A4A06340-6234-44BE-BFB2-F432A1C0E44B}"/>
    <dataValidation allowBlank="1" showInputMessage="1" showErrorMessage="1" prompt="This percentage should include all benefits costs (e.g. healthcare, retirement, FICA). In the Basic tabs, the same benefits rate is applied to all forms of compensation. To enter separate benefits rates for salaries and stipends, use the Advanced tabs." sqref="K33" xr:uid="{FE470AA7-A4D7-4803-A959-F320FBF60F70}"/>
    <dataValidation type="list" allowBlank="1" showInputMessage="1" showErrorMessage="1" prompt="Freezing pay for ineffective teachers allows the money that would've been spent on their raises to be repurposed into more strategic spending." sqref="L58" xr:uid="{251B0A5E-4189-4A1F-8EE9-7C2A890F9932}">
      <formula1>"Yes, No"</formula1>
    </dataValidation>
    <dataValidation allowBlank="1" showInputMessage="1" showErrorMessage="1" prompt="Categories must be entered from least effective to most effective. This cell should contain the category describing your least effective teachers." sqref="J44" xr:uid="{7F47F978-7435-4104-A99C-E11FE6A7FC3A}"/>
    <dataValidation allowBlank="1" showInputMessage="1" showErrorMessage="1" prompt="Enter the percent you expect all teacher salaries to increase each year. This could be due to inflation-based salary adjustments or board-approved pay increases, for example." sqref="U14" xr:uid="{A5F806C9-8B63-449B-BAEC-7FCFDA5133A3}"/>
    <dataValidation allowBlank="1" showInputMessage="1" showErrorMessage="1" prompt="Entering additional roles here is optional. Any roles entered will be used later in the tradeoff levers tab as you consider potential savings options." sqref="J71" xr:uid="{B124F28A-EDE8-4CDE-87F4-27A1FE292C04}"/>
    <dataValidation allowBlank="1" showInputMessage="1" showErrorMessage="1" prompt="Enter the percent increase in benefits costs that you anticipate each year." sqref="U15" xr:uid="{D0000212-27C2-44F7-A012-D8C71BC24F42}"/>
    <dataValidation type="list" allowBlank="1" showInputMessage="1" showErrorMessage="1" sqref="K58" xr:uid="{C942C261-1108-4F40-B4C3-58E1D475302F}">
      <formula1>"Yes, No"</formula1>
    </dataValidation>
  </dataValidations>
  <hyperlinks>
    <hyperlink ref="N3" location="'Basic - Teachers'!J8" display="1. FTE" xr:uid="{65AB2EF8-38DD-40A1-8AF2-50AF7149ED26}"/>
    <hyperlink ref="N4" location="'Basic - Teachers'!J12" display="2. Experience" xr:uid="{0A67AE9C-5048-49D8-BCDA-719ADEB0C594}"/>
    <hyperlink ref="N5" location="'Basic - Teachers'!J19" display="3. Education" xr:uid="{812176F3-19FF-4142-A71D-520C61E0EC1E}"/>
    <hyperlink ref="N6" location="'Basic - Teachers'!J27" display="4. Salary" xr:uid="{49E6EA28-B8A0-4116-9F51-76BE7F084E66}"/>
    <hyperlink ref="O3" location="'Basic - Teachers'!J41" display="5. Effectiveness" xr:uid="{D98BC7D3-5B8C-4472-ADFE-09A1BFE6B84F}"/>
    <hyperlink ref="O4" location="'Basic - Teachers'!J61" display="6. Roles" xr:uid="{FBDFFAFE-9336-4DAA-B4E1-9D2CD07228A1}"/>
    <hyperlink ref="O5" location="'Basic - Teachers'!J78" display="7. Critical Needs Areas" xr:uid="{89190D1D-CA0E-4E6C-9F57-7B4DCEDACF6A}"/>
  </hyperlinks>
  <pageMargins left="0.7" right="0.7" top="0.75" bottom="0.75" header="0.3" footer="0.3"/>
  <pageSetup orientation="portrait"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34C79-5ECB-40F3-BD80-49857A46E8B3}">
  <sheetPr codeName="Sheet4">
    <tabColor theme="5" tint="0.39997558519241921"/>
  </sheetPr>
  <dimension ref="B1:AL243"/>
  <sheetViews>
    <sheetView showGridLines="0" zoomScale="46" zoomScaleNormal="46" zoomScaleSheetLayoutView="50" workbookViewId="0">
      <pane xSplit="7" ySplit="7" topLeftCell="H8" activePane="bottomRight" state="frozen"/>
      <selection pane="bottomRight" activeCell="N38" sqref="N38"/>
      <selection pane="bottomLeft" activeCell="A6" sqref="A6"/>
      <selection pane="topRight" activeCell="H1" sqref="H1"/>
    </sheetView>
  </sheetViews>
  <sheetFormatPr defaultColWidth="8.7109375" defaultRowHeight="14.45"/>
  <cols>
    <col min="1" max="1" width="3.5703125" style="545" customWidth="1"/>
    <col min="2" max="2" width="18.85546875" style="545" customWidth="1"/>
    <col min="3" max="3" width="11.42578125" style="545" customWidth="1"/>
    <col min="4" max="4" width="14.140625" style="545" customWidth="1"/>
    <col min="5" max="5" width="11.7109375" style="545" customWidth="1"/>
    <col min="6" max="6" width="11.85546875" style="545" customWidth="1"/>
    <col min="7" max="7" width="4.140625" style="545" customWidth="1"/>
    <col min="8" max="8" width="3.42578125" style="547" customWidth="1"/>
    <col min="9" max="9" width="8.7109375" style="545"/>
    <col min="10" max="10" width="33.28515625" style="545" customWidth="1"/>
    <col min="11" max="11" width="16.42578125" style="665" customWidth="1"/>
    <col min="12" max="12" width="21.7109375" style="665" customWidth="1"/>
    <col min="13" max="13" width="23.42578125" style="665" customWidth="1"/>
    <col min="14" max="14" width="18.140625" style="545" customWidth="1"/>
    <col min="15" max="15" width="21.5703125" customWidth="1"/>
    <col min="16" max="16" width="4" style="545" customWidth="1"/>
    <col min="17" max="17" width="4.42578125" style="547" customWidth="1"/>
    <col min="18" max="18" width="8.7109375" style="545"/>
    <col min="19" max="19" width="23" style="545" customWidth="1"/>
    <col min="20" max="20" width="13" style="545" customWidth="1"/>
    <col min="21" max="21" width="8.7109375" style="545"/>
    <col min="22" max="22" width="22.140625" style="545" customWidth="1"/>
    <col min="23" max="23" width="14.5703125" style="545" customWidth="1"/>
    <col min="24" max="24" width="11.140625" style="545" customWidth="1"/>
    <col min="25" max="25" width="19" style="545" customWidth="1"/>
    <col min="26" max="26" width="10.85546875" style="545" customWidth="1"/>
    <col min="27" max="27" width="10.5703125" style="545" customWidth="1"/>
    <col min="28" max="28" width="11.7109375" style="545" customWidth="1"/>
    <col min="29" max="29" width="13.42578125" style="545" customWidth="1"/>
    <col min="30" max="30" width="12.140625" style="545" customWidth="1"/>
    <col min="31" max="31" width="8.7109375" style="545"/>
    <col min="32" max="32" width="29.7109375" style="545" customWidth="1"/>
    <col min="33" max="33" width="13.85546875" style="545" customWidth="1"/>
    <col min="34" max="34" width="11.42578125" style="545" customWidth="1"/>
    <col min="35" max="35" width="11.140625" style="545" customWidth="1"/>
    <col min="36" max="36" width="12.85546875" style="545" customWidth="1"/>
    <col min="37" max="37" width="10.5703125" style="545" customWidth="1"/>
    <col min="38" max="16384" width="8.7109375" style="545"/>
  </cols>
  <sheetData>
    <row r="1" spans="2:38" ht="15" thickBot="1"/>
    <row r="2" spans="2:38" ht="29.1" customHeight="1" thickBot="1">
      <c r="B2" s="1280" t="s">
        <v>51</v>
      </c>
      <c r="C2" s="1281"/>
      <c r="D2" s="1281"/>
      <c r="E2" s="1281"/>
      <c r="F2" s="1282"/>
      <c r="J2" s="666" t="s">
        <v>52</v>
      </c>
      <c r="K2" s="666"/>
      <c r="L2" s="667"/>
      <c r="N2" s="1323" t="s">
        <v>148</v>
      </c>
      <c r="O2" s="1324"/>
      <c r="P2" s="665"/>
      <c r="S2" s="1294" t="s">
        <v>54</v>
      </c>
      <c r="T2" s="1295"/>
      <c r="U2" s="1295"/>
      <c r="V2" s="1296"/>
    </row>
    <row r="3" spans="2:38" ht="18" customHeight="1">
      <c r="B3" s="1283" t="s">
        <v>149</v>
      </c>
      <c r="C3" s="1284"/>
      <c r="D3" s="1284"/>
      <c r="E3" s="1284"/>
      <c r="F3" s="1285"/>
      <c r="I3" s="668"/>
      <c r="J3" s="1303" t="s">
        <v>150</v>
      </c>
      <c r="K3" s="1304"/>
      <c r="L3" s="1305"/>
      <c r="N3" s="1093" t="s">
        <v>151</v>
      </c>
      <c r="O3" s="1095" t="s">
        <v>152</v>
      </c>
      <c r="P3" s="665"/>
      <c r="S3" s="1297" t="s">
        <v>153</v>
      </c>
      <c r="T3" s="1298"/>
      <c r="U3" s="1298"/>
      <c r="V3" s="1299"/>
    </row>
    <row r="4" spans="2:38" ht="21" customHeight="1">
      <c r="B4" s="1286"/>
      <c r="C4" s="1287"/>
      <c r="D4" s="1287"/>
      <c r="E4" s="1287"/>
      <c r="F4" s="1288"/>
      <c r="I4" s="668"/>
      <c r="J4" s="1297"/>
      <c r="K4" s="1298"/>
      <c r="L4" s="1299"/>
      <c r="N4" s="1093" t="s">
        <v>154</v>
      </c>
      <c r="O4" s="1095" t="s">
        <v>155</v>
      </c>
      <c r="P4" s="665"/>
      <c r="S4" s="1297"/>
      <c r="T4" s="1298"/>
      <c r="U4" s="1298"/>
      <c r="V4" s="1299"/>
    </row>
    <row r="5" spans="2:38" ht="18" customHeight="1">
      <c r="B5" s="1286"/>
      <c r="C5" s="1287"/>
      <c r="D5" s="1287"/>
      <c r="E5" s="1287"/>
      <c r="F5" s="1288"/>
      <c r="I5" s="668"/>
      <c r="J5" s="1297"/>
      <c r="K5" s="1298"/>
      <c r="L5" s="1299"/>
      <c r="N5" s="1093" t="s">
        <v>62</v>
      </c>
      <c r="O5" s="1095"/>
      <c r="P5" s="665"/>
      <c r="S5" s="1297"/>
      <c r="T5" s="1298"/>
      <c r="U5" s="1298"/>
      <c r="V5" s="1299"/>
    </row>
    <row r="6" spans="2:38" ht="24" customHeight="1" thickBot="1">
      <c r="B6" s="1289"/>
      <c r="C6" s="1290"/>
      <c r="D6" s="1290"/>
      <c r="E6" s="1290"/>
      <c r="F6" s="1291"/>
      <c r="I6" s="668"/>
      <c r="J6" s="1300"/>
      <c r="K6" s="1301"/>
      <c r="L6" s="1302"/>
      <c r="N6" s="1094" t="s">
        <v>156</v>
      </c>
      <c r="O6" s="81"/>
      <c r="P6" s="665"/>
      <c r="S6" s="1300"/>
      <c r="T6" s="1301"/>
      <c r="U6" s="1301"/>
      <c r="V6" s="1302"/>
    </row>
    <row r="7" spans="2:38" ht="31.5" customHeight="1" thickBot="1">
      <c r="B7" s="781"/>
      <c r="I7" s="668"/>
      <c r="J7" s="556" t="s">
        <v>65</v>
      </c>
      <c r="K7" s="664" t="str">
        <f>INSTRUCTIONS!Q7</f>
        <v>Basic</v>
      </c>
      <c r="L7" s="1306" t="str">
        <f>IF(K7="Basic", "ERROR: Ensure 'Advanced' is selected in the INSTRUCTIONS tab if using this tab for teacher inputs", " ")</f>
        <v>ERROR: Ensure 'Advanced' is selected in the INSTRUCTIONS tab if using this tab for teacher inputs</v>
      </c>
      <c r="M7" s="1306"/>
      <c r="N7" s="1306"/>
    </row>
    <row r="8" spans="2:38" ht="28.5" customHeight="1" thickBot="1">
      <c r="B8" s="1166" t="s">
        <v>66</v>
      </c>
      <c r="C8" s="1210"/>
      <c r="D8" s="1210"/>
      <c r="E8" s="1210"/>
      <c r="F8" s="1211"/>
      <c r="I8" s="668"/>
      <c r="J8" s="556"/>
      <c r="K8" s="557"/>
      <c r="L8" s="669"/>
      <c r="M8" s="669"/>
      <c r="N8" s="669"/>
    </row>
    <row r="9" spans="2:38" ht="25.5" customHeight="1" thickBot="1">
      <c r="B9" s="1164" t="s">
        <v>68</v>
      </c>
      <c r="C9" s="1206"/>
      <c r="D9" s="1207"/>
      <c r="E9" s="1208"/>
      <c r="F9" s="1209"/>
      <c r="J9" s="1265" t="s">
        <v>157</v>
      </c>
      <c r="K9" s="1266"/>
      <c r="L9" s="1267"/>
      <c r="N9" s="669"/>
      <c r="S9" s="1252" t="s">
        <v>158</v>
      </c>
      <c r="T9" s="1254"/>
      <c r="V9" s="1252" t="s">
        <v>159</v>
      </c>
      <c r="W9" s="1254"/>
      <c r="Y9" s="1252" t="s">
        <v>160</v>
      </c>
      <c r="Z9" s="1253"/>
      <c r="AA9" s="1253"/>
      <c r="AB9" s="1253"/>
      <c r="AC9" s="1253"/>
      <c r="AD9" s="1254"/>
      <c r="AF9" s="1252" t="s">
        <v>161</v>
      </c>
      <c r="AG9" s="1253"/>
      <c r="AH9" s="1254"/>
    </row>
    <row r="10" spans="2:38" ht="30.95" customHeight="1" thickBot="1">
      <c r="B10" s="1292" t="s">
        <v>71</v>
      </c>
      <c r="C10" s="1293"/>
      <c r="D10" s="1200" t="s">
        <v>72</v>
      </c>
      <c r="E10" s="1293"/>
      <c r="F10" s="782" t="s">
        <v>73</v>
      </c>
      <c r="J10" s="1344" t="s">
        <v>162</v>
      </c>
      <c r="K10" s="1345"/>
      <c r="L10" s="1346"/>
      <c r="N10" s="669"/>
      <c r="S10" s="673" t="s">
        <v>163</v>
      </c>
      <c r="T10" s="1032"/>
      <c r="V10" s="673" t="s">
        <v>164</v>
      </c>
      <c r="W10" s="1032"/>
      <c r="Y10" s="1277" t="s">
        <v>165</v>
      </c>
      <c r="Z10" s="1278"/>
      <c r="AA10" s="1278"/>
      <c r="AB10" s="1278"/>
      <c r="AC10" s="1278"/>
      <c r="AD10" s="1279"/>
      <c r="AF10" s="1262" t="s">
        <v>166</v>
      </c>
      <c r="AG10" s="1263"/>
      <c r="AH10" s="1264"/>
    </row>
    <row r="11" spans="2:38" ht="26.1" customHeight="1" thickBot="1">
      <c r="B11" s="1273" t="str">
        <f>IFERROR(IF(INSTRUCTIONS!$Q$7="Advanced", 'Tradeoff Levers'!C8, ""), "")</f>
        <v/>
      </c>
      <c r="C11" s="1274"/>
      <c r="D11" s="1275" t="str">
        <f>IFERROR(IF(INSTRUCTIONS!$Q$7="Advanced", 'Tradeoff Levers'!C9, ""), "")</f>
        <v/>
      </c>
      <c r="E11" s="1276"/>
      <c r="F11" s="1034" t="str">
        <f>IFERROR(IF(INSTRUCTIONS!$Q$7="Advanced",B11-D11, ""), "")</f>
        <v/>
      </c>
      <c r="H11" s="555"/>
      <c r="J11" s="670"/>
      <c r="K11" s="671" t="s">
        <v>85</v>
      </c>
      <c r="L11" s="672" t="s">
        <v>86</v>
      </c>
      <c r="N11" s="669"/>
      <c r="S11" s="1271" t="s">
        <v>167</v>
      </c>
      <c r="T11" s="1272"/>
      <c r="V11" s="1271" t="s">
        <v>168</v>
      </c>
      <c r="W11" s="1272"/>
      <c r="Y11" s="674" t="s">
        <v>169</v>
      </c>
      <c r="Z11" s="675" t="s">
        <v>170</v>
      </c>
      <c r="AA11" s="675" t="s">
        <v>171</v>
      </c>
      <c r="AB11" s="675" t="s">
        <v>172</v>
      </c>
      <c r="AC11" s="675" t="s">
        <v>173</v>
      </c>
      <c r="AD11" s="676" t="s">
        <v>174</v>
      </c>
      <c r="AF11" s="677"/>
      <c r="AG11" s="580" t="s">
        <v>175</v>
      </c>
      <c r="AH11" s="678" t="s">
        <v>176</v>
      </c>
    </row>
    <row r="12" spans="2:38" ht="29.1" customHeight="1" thickBot="1">
      <c r="B12" s="639"/>
      <c r="C12" s="639"/>
      <c r="D12" s="685"/>
      <c r="E12" s="685"/>
      <c r="F12" s="686"/>
      <c r="H12" s="555"/>
      <c r="J12" s="679" t="s">
        <v>177</v>
      </c>
      <c r="K12" s="680"/>
      <c r="L12" s="681"/>
      <c r="N12" s="669"/>
      <c r="S12" s="674" t="s">
        <v>169</v>
      </c>
      <c r="T12" s="682" t="s">
        <v>82</v>
      </c>
      <c r="V12" s="674" t="s">
        <v>169</v>
      </c>
      <c r="W12" s="682" t="s">
        <v>82</v>
      </c>
      <c r="Y12" s="677">
        <v>0</v>
      </c>
      <c r="Z12" s="683"/>
      <c r="AA12" s="683"/>
      <c r="AB12" s="683"/>
      <c r="AC12" s="683"/>
      <c r="AD12" s="684"/>
      <c r="AF12" s="677" t="s">
        <v>178</v>
      </c>
      <c r="AG12" s="683"/>
      <c r="AH12" s="684"/>
    </row>
    <row r="13" spans="2:38" ht="25.5" customHeight="1" thickBot="1">
      <c r="B13" s="1166" t="s">
        <v>78</v>
      </c>
      <c r="C13" s="1166"/>
      <c r="D13" s="1166"/>
      <c r="E13" s="1166"/>
      <c r="F13" s="1167"/>
      <c r="H13" s="560"/>
      <c r="S13" s="677">
        <v>0</v>
      </c>
      <c r="T13" s="684"/>
      <c r="V13" s="677">
        <v>0</v>
      </c>
      <c r="W13" s="684"/>
      <c r="Y13" s="677">
        <v>1</v>
      </c>
      <c r="Z13" s="683"/>
      <c r="AA13" s="683"/>
      <c r="AB13" s="683"/>
      <c r="AC13" s="683"/>
      <c r="AD13" s="684"/>
      <c r="AF13" s="687" t="s">
        <v>179</v>
      </c>
      <c r="AG13" s="688"/>
      <c r="AH13" s="689"/>
    </row>
    <row r="14" spans="2:38" ht="38.450000000000003" customHeight="1" thickBot="1">
      <c r="B14" s="1164" t="s">
        <v>81</v>
      </c>
      <c r="C14" s="1164"/>
      <c r="D14" s="1164"/>
      <c r="E14" s="1164"/>
      <c r="F14" s="1165"/>
      <c r="J14" s="1265" t="s">
        <v>180</v>
      </c>
      <c r="K14" s="1266"/>
      <c r="L14" s="1267"/>
      <c r="S14" s="677">
        <v>1</v>
      </c>
      <c r="T14" s="684"/>
      <c r="V14" s="677">
        <v>1</v>
      </c>
      <c r="W14" s="684"/>
      <c r="Y14" s="677">
        <v>2</v>
      </c>
      <c r="Z14" s="683"/>
      <c r="AA14" s="683"/>
      <c r="AB14" s="683"/>
      <c r="AC14" s="683"/>
      <c r="AD14" s="684"/>
    </row>
    <row r="15" spans="2:38" ht="39.950000000000003" customHeight="1" thickBot="1">
      <c r="B15" s="576" t="s">
        <v>84</v>
      </c>
      <c r="C15" s="1199" t="s">
        <v>85</v>
      </c>
      <c r="D15" s="1341"/>
      <c r="E15" s="1200" t="s">
        <v>86</v>
      </c>
      <c r="F15" s="1293"/>
      <c r="J15" s="690" t="s">
        <v>181</v>
      </c>
      <c r="K15" s="1342" t="s">
        <v>182</v>
      </c>
      <c r="L15" s="1343"/>
      <c r="M15" s="545"/>
      <c r="S15" s="677">
        <v>2</v>
      </c>
      <c r="T15" s="684"/>
      <c r="V15" s="677">
        <v>2</v>
      </c>
      <c r="W15" s="684"/>
      <c r="Y15" s="677">
        <v>3</v>
      </c>
      <c r="Z15" s="683"/>
      <c r="AA15" s="683"/>
      <c r="AB15" s="683"/>
      <c r="AC15" s="683"/>
      <c r="AD15" s="684"/>
    </row>
    <row r="16" spans="2:38" ht="15" customHeight="1">
      <c r="B16" s="691" t="s">
        <v>89</v>
      </c>
      <c r="C16" s="1261" t="str">
        <f>IF(INSTRUCTIONS!$Q$7="Advanced",'Advanced Teacher Analysis'!$P$5, "")</f>
        <v/>
      </c>
      <c r="D16" s="1261"/>
      <c r="E16" s="1261" t="str">
        <f>IF(INSTRUCTIONS!$Q$7="Advanced",'Advanced Teacher Analysis'!$Q$5, "")</f>
        <v/>
      </c>
      <c r="F16" s="1261"/>
      <c r="K16" s="545"/>
      <c r="M16" s="545"/>
      <c r="S16" s="677">
        <v>3</v>
      </c>
      <c r="T16" s="684"/>
      <c r="V16" s="677">
        <v>3</v>
      </c>
      <c r="W16" s="684"/>
      <c r="Y16" s="677">
        <v>4</v>
      </c>
      <c r="Z16" s="683"/>
      <c r="AA16" s="683"/>
      <c r="AB16" s="683"/>
      <c r="AC16" s="683"/>
      <c r="AD16" s="684"/>
      <c r="AF16" s="1258" t="s">
        <v>183</v>
      </c>
      <c r="AG16" s="1259"/>
      <c r="AH16" s="1259"/>
      <c r="AI16" s="1259"/>
      <c r="AJ16" s="1259"/>
      <c r="AK16" s="1259"/>
      <c r="AL16" s="1260"/>
    </row>
    <row r="17" spans="2:38" ht="20.100000000000001" customHeight="1" thickBot="1">
      <c r="B17" s="691" t="s">
        <v>91</v>
      </c>
      <c r="C17" s="1135" t="str">
        <f>IF(INSTRUCTIONS!$Q$7="Advanced",'Advanced Teacher Analysis'!$P$6, "")</f>
        <v/>
      </c>
      <c r="D17" s="1135"/>
      <c r="E17" s="1135" t="str">
        <f>IFERROR(IF(INSTRUCTIONS!$Q$7="Advanced",'Advanced Teacher Analysis'!$Q$6, ""), 0)</f>
        <v/>
      </c>
      <c r="F17" s="1135"/>
      <c r="K17" s="692"/>
      <c r="M17" s="545"/>
      <c r="S17" s="677">
        <v>4</v>
      </c>
      <c r="T17" s="684"/>
      <c r="V17" s="677">
        <v>4</v>
      </c>
      <c r="W17" s="684"/>
      <c r="Y17" s="677">
        <v>5</v>
      </c>
      <c r="Z17" s="683"/>
      <c r="AA17" s="683"/>
      <c r="AB17" s="683"/>
      <c r="AC17" s="683"/>
      <c r="AD17" s="684"/>
      <c r="AF17" s="1255" t="s">
        <v>184</v>
      </c>
      <c r="AG17" s="1256"/>
      <c r="AH17" s="1256"/>
      <c r="AI17" s="1256"/>
      <c r="AJ17" s="1256"/>
      <c r="AK17" s="1256"/>
      <c r="AL17" s="1257"/>
    </row>
    <row r="18" spans="2:38" ht="30.95" customHeight="1" thickBot="1">
      <c r="B18" s="691" t="s">
        <v>93</v>
      </c>
      <c r="C18" s="1261" t="str">
        <f>IF(INSTRUCTIONS!$Q$7="Advanced",'Advanced Teacher Analysis'!$P$7, "")</f>
        <v/>
      </c>
      <c r="D18" s="1261"/>
      <c r="E18" s="1261" t="str">
        <f>IF(INSTRUCTIONS!$Q$7="Advanced",'Advanced Teacher Analysis'!$Q$7, "")</f>
        <v/>
      </c>
      <c r="F18" s="1261"/>
      <c r="J18" s="1265" t="s">
        <v>185</v>
      </c>
      <c r="K18" s="1266"/>
      <c r="L18" s="1266"/>
      <c r="M18" s="1267"/>
      <c r="S18" s="677">
        <v>5</v>
      </c>
      <c r="T18" s="684"/>
      <c r="V18" s="677">
        <v>5</v>
      </c>
      <c r="W18" s="684"/>
      <c r="Y18" s="677">
        <v>6</v>
      </c>
      <c r="Z18" s="683"/>
      <c r="AA18" s="683"/>
      <c r="AB18" s="683"/>
      <c r="AC18" s="683"/>
      <c r="AD18" s="684"/>
      <c r="AF18" s="693" t="s">
        <v>186</v>
      </c>
      <c r="AG18" s="694" t="s">
        <v>85</v>
      </c>
      <c r="AH18" s="694" t="s">
        <v>170</v>
      </c>
      <c r="AI18" s="694" t="s">
        <v>171</v>
      </c>
      <c r="AJ18" s="694" t="s">
        <v>172</v>
      </c>
      <c r="AK18" s="694" t="s">
        <v>173</v>
      </c>
      <c r="AL18" s="676" t="s">
        <v>174</v>
      </c>
    </row>
    <row r="19" spans="2:38" ht="27.95" customHeight="1" thickBot="1">
      <c r="B19" s="691" t="s">
        <v>94</v>
      </c>
      <c r="C19" s="1261" t="str">
        <f>IF(INSTRUCTIONS!$Q$7="Advanced",'Advanced Teacher Analysis'!$P$31, "")</f>
        <v/>
      </c>
      <c r="D19" s="1261"/>
      <c r="E19" s="1261" t="str">
        <f>IF(INSTRUCTIONS!$Q$7="Advanced",'Advanced Teacher Analysis'!$Q$31, "")</f>
        <v/>
      </c>
      <c r="F19" s="1261"/>
      <c r="J19" s="1262" t="s">
        <v>187</v>
      </c>
      <c r="K19" s="1263"/>
      <c r="L19" s="1263"/>
      <c r="M19" s="1264"/>
      <c r="S19" s="677">
        <v>6</v>
      </c>
      <c r="T19" s="684"/>
      <c r="V19" s="677">
        <v>6</v>
      </c>
      <c r="W19" s="684"/>
      <c r="Y19" s="677">
        <v>7</v>
      </c>
      <c r="Z19" s="683"/>
      <c r="AA19" s="683"/>
      <c r="AB19" s="683"/>
      <c r="AC19" s="683"/>
      <c r="AD19" s="684"/>
      <c r="AF19" s="677" t="s">
        <v>104</v>
      </c>
      <c r="AG19" s="777">
        <f>M62</f>
        <v>0</v>
      </c>
      <c r="AH19" s="695"/>
      <c r="AI19" s="695"/>
      <c r="AJ19" s="695"/>
      <c r="AK19" s="695"/>
      <c r="AL19" s="696"/>
    </row>
    <row r="20" spans="2:38" ht="17.25" customHeight="1" thickBot="1">
      <c r="B20" s="691" t="s">
        <v>95</v>
      </c>
      <c r="C20" s="1339" t="str">
        <f>IF(INSTRUCTIONS!$Q$7="Advanced",'Advanced Teacher Analysis'!P38, "")</f>
        <v/>
      </c>
      <c r="D20" s="1340"/>
      <c r="E20" s="1339" t="str">
        <f>IF(INSTRUCTIONS!$Q$7="Advanced",'Advanced Teacher Analysis'!Q38, "")</f>
        <v/>
      </c>
      <c r="F20" s="1340"/>
      <c r="J20" s="674" t="s">
        <v>169</v>
      </c>
      <c r="K20" s="697" t="s">
        <v>188</v>
      </c>
      <c r="L20" s="698" t="s">
        <v>189</v>
      </c>
      <c r="M20" s="699" t="s">
        <v>190</v>
      </c>
      <c r="S20" s="677">
        <v>7</v>
      </c>
      <c r="T20" s="684"/>
      <c r="V20" s="677">
        <v>7</v>
      </c>
      <c r="W20" s="684"/>
      <c r="Y20" s="677">
        <v>8</v>
      </c>
      <c r="Z20" s="683"/>
      <c r="AA20" s="683"/>
      <c r="AB20" s="683"/>
      <c r="AC20" s="683"/>
      <c r="AD20" s="684"/>
      <c r="AF20" s="687" t="s">
        <v>106</v>
      </c>
      <c r="AG20" s="778">
        <f>M63</f>
        <v>0</v>
      </c>
      <c r="AH20" s="700"/>
      <c r="AI20" s="700"/>
      <c r="AJ20" s="700"/>
      <c r="AK20" s="700"/>
      <c r="AL20" s="701"/>
    </row>
    <row r="21" spans="2:38">
      <c r="B21" s="691" t="s">
        <v>97</v>
      </c>
      <c r="C21" s="1261" t="str">
        <f>IF(INSTRUCTIONS!$Q$7="Advanced",'Advanced Teacher Analysis'!$P$45, "")</f>
        <v/>
      </c>
      <c r="D21" s="1261"/>
      <c r="E21" s="1261" t="str">
        <f>IF(INSTRUCTIONS!$Q$7="Advanced",'Advanced Teacher Analysis'!$Q$45, "")</f>
        <v/>
      </c>
      <c r="F21" s="1261"/>
      <c r="J21" s="702">
        <v>0</v>
      </c>
      <c r="K21" s="703"/>
      <c r="L21" s="779">
        <f>K12</f>
        <v>0</v>
      </c>
      <c r="M21" s="705"/>
      <c r="S21" s="677">
        <v>8</v>
      </c>
      <c r="T21" s="684"/>
      <c r="V21" s="677">
        <v>8</v>
      </c>
      <c r="W21" s="684"/>
      <c r="Y21" s="677">
        <v>9</v>
      </c>
      <c r="Z21" s="683"/>
      <c r="AA21" s="683"/>
      <c r="AB21" s="683"/>
      <c r="AC21" s="683"/>
      <c r="AD21" s="684"/>
    </row>
    <row r="22" spans="2:38" ht="15" thickBot="1">
      <c r="B22" s="691" t="s">
        <v>101</v>
      </c>
      <c r="C22" s="1261" t="str">
        <f>IF(INSTRUCTIONS!$Q$7="Advanced",'Advanced Teacher Analysis'!$P$67, "")</f>
        <v/>
      </c>
      <c r="D22" s="1261"/>
      <c r="E22" s="1261" t="str">
        <f>IFERROR(IF(INSTRUCTIONS!$Q$7="Advanced",'Advanced Teacher Analysis'!$Q$67, ""), 0)</f>
        <v/>
      </c>
      <c r="F22" s="1261"/>
      <c r="J22" s="702">
        <v>1</v>
      </c>
      <c r="K22" s="703"/>
      <c r="L22" s="695"/>
      <c r="M22" s="706"/>
      <c r="S22" s="677">
        <v>9</v>
      </c>
      <c r="T22" s="684"/>
      <c r="V22" s="677">
        <v>9</v>
      </c>
      <c r="W22" s="684"/>
      <c r="Y22" s="677">
        <v>10</v>
      </c>
      <c r="Z22" s="683"/>
      <c r="AA22" s="683"/>
      <c r="AB22" s="683"/>
      <c r="AC22" s="683"/>
      <c r="AD22" s="684"/>
    </row>
    <row r="23" spans="2:38" ht="15" thickBot="1">
      <c r="B23" s="691" t="s">
        <v>103</v>
      </c>
      <c r="C23" s="1261" t="str">
        <f>IF(INSTRUCTIONS!$Q$7="Advanced",'Advanced Teacher Analysis'!$P$74, "")</f>
        <v/>
      </c>
      <c r="D23" s="1261"/>
      <c r="E23" s="1261" t="str">
        <f>IFERROR(IF(INSTRUCTIONS!$Q$7="Advanced",'Advanced Teacher Analysis'!$Q$74, ""), 0)</f>
        <v/>
      </c>
      <c r="F23" s="1261"/>
      <c r="J23" s="702">
        <v>2</v>
      </c>
      <c r="K23" s="703"/>
      <c r="L23" s="695"/>
      <c r="M23" s="706"/>
      <c r="S23" s="677">
        <v>10</v>
      </c>
      <c r="T23" s="684"/>
      <c r="V23" s="677">
        <v>10</v>
      </c>
      <c r="W23" s="684"/>
      <c r="Y23" s="677">
        <v>11</v>
      </c>
      <c r="Z23" s="683"/>
      <c r="AA23" s="683"/>
      <c r="AB23" s="683"/>
      <c r="AC23" s="683"/>
      <c r="AD23" s="684"/>
      <c r="AF23" s="1252" t="s">
        <v>191</v>
      </c>
      <c r="AG23" s="1253"/>
      <c r="AH23" s="1253"/>
      <c r="AI23" s="1253"/>
      <c r="AJ23" s="1253"/>
      <c r="AK23" s="1254"/>
    </row>
    <row r="24" spans="2:38" ht="15" thickBot="1">
      <c r="B24" s="804" t="s">
        <v>105</v>
      </c>
      <c r="C24" s="1347" t="str">
        <f>IF(INSTRUCTIONS!$Q$7="Advanced",'Advanced Teacher Analysis'!$P$76, "")</f>
        <v/>
      </c>
      <c r="D24" s="1347"/>
      <c r="E24" s="1347" t="str">
        <f>IFERROR(IF(INSTRUCTIONS!$Q$7="Advanced",'Advanced Teacher Analysis'!Q76, ""), 0)</f>
        <v/>
      </c>
      <c r="F24" s="1347"/>
      <c r="J24" s="702">
        <v>3</v>
      </c>
      <c r="K24" s="703"/>
      <c r="L24" s="695"/>
      <c r="M24" s="706"/>
      <c r="S24" s="677">
        <v>11</v>
      </c>
      <c r="T24" s="684"/>
      <c r="V24" s="677">
        <v>11</v>
      </c>
      <c r="W24" s="684"/>
      <c r="Y24" s="677">
        <v>12</v>
      </c>
      <c r="Z24" s="683"/>
      <c r="AA24" s="683"/>
      <c r="AB24" s="683"/>
      <c r="AC24" s="683"/>
      <c r="AD24" s="684"/>
      <c r="AF24" s="707" t="s">
        <v>192</v>
      </c>
      <c r="AG24" s="708"/>
      <c r="AH24" s="708"/>
      <c r="AI24" s="708"/>
      <c r="AJ24" s="709"/>
      <c r="AK24" s="710"/>
    </row>
    <row r="25" spans="2:38" ht="16.5" customHeight="1" thickBot="1">
      <c r="B25" s="1351" t="s">
        <v>193</v>
      </c>
      <c r="C25" s="1352"/>
      <c r="D25" s="1352"/>
      <c r="E25" s="1349" t="str">
        <f>IF(INSTRUCTIONS!$Q$7="Advanced", E24-C24, "")</f>
        <v/>
      </c>
      <c r="F25" s="1350"/>
      <c r="J25" s="702">
        <v>4</v>
      </c>
      <c r="K25" s="703"/>
      <c r="L25" s="695"/>
      <c r="M25" s="706"/>
      <c r="S25" s="677">
        <v>12</v>
      </c>
      <c r="T25" s="684"/>
      <c r="V25" s="677">
        <v>12</v>
      </c>
      <c r="W25" s="684"/>
      <c r="Y25" s="677">
        <v>13</v>
      </c>
      <c r="Z25" s="683"/>
      <c r="AA25" s="683"/>
      <c r="AB25" s="683"/>
      <c r="AC25" s="683"/>
      <c r="AD25" s="684"/>
    </row>
    <row r="26" spans="2:38" ht="15" thickBot="1">
      <c r="B26" s="597"/>
      <c r="C26" s="639"/>
      <c r="D26" s="639"/>
      <c r="E26" s="639"/>
      <c r="F26" s="639"/>
      <c r="J26" s="702">
        <v>5</v>
      </c>
      <c r="K26" s="703"/>
      <c r="L26" s="695"/>
      <c r="M26" s="706"/>
      <c r="S26" s="677">
        <v>13</v>
      </c>
      <c r="T26" s="684"/>
      <c r="V26" s="677">
        <v>13</v>
      </c>
      <c r="W26" s="684"/>
      <c r="Y26" s="677">
        <v>14</v>
      </c>
      <c r="Z26" s="683"/>
      <c r="AA26" s="683"/>
      <c r="AB26" s="683"/>
      <c r="AC26" s="683"/>
      <c r="AD26" s="684"/>
    </row>
    <row r="27" spans="2:38" ht="15" thickBot="1">
      <c r="B27" s="1334" t="s">
        <v>108</v>
      </c>
      <c r="C27" s="1335"/>
      <c r="D27" s="1335"/>
      <c r="E27" s="1335"/>
      <c r="F27" s="1335"/>
      <c r="J27" s="702">
        <v>6</v>
      </c>
      <c r="K27" s="703"/>
      <c r="L27" s="695"/>
      <c r="M27" s="706"/>
      <c r="S27" s="677">
        <v>14</v>
      </c>
      <c r="T27" s="684"/>
      <c r="V27" s="677">
        <v>14</v>
      </c>
      <c r="W27" s="684"/>
      <c r="Y27" s="677">
        <v>15</v>
      </c>
      <c r="Z27" s="683"/>
      <c r="AA27" s="683"/>
      <c r="AB27" s="683"/>
      <c r="AC27" s="683"/>
      <c r="AD27" s="684"/>
    </row>
    <row r="28" spans="2:38">
      <c r="B28" s="1336" t="s">
        <v>110</v>
      </c>
      <c r="C28" s="1337"/>
      <c r="D28" s="1337"/>
      <c r="E28" s="1337"/>
      <c r="F28" s="1338"/>
      <c r="J28" s="702">
        <v>7</v>
      </c>
      <c r="K28" s="703"/>
      <c r="L28" s="695"/>
      <c r="M28" s="706"/>
      <c r="S28" s="677">
        <v>15</v>
      </c>
      <c r="T28" s="684"/>
      <c r="V28" s="677">
        <v>15</v>
      </c>
      <c r="W28" s="684"/>
      <c r="Y28" s="677">
        <v>16</v>
      </c>
      <c r="Z28" s="683"/>
      <c r="AA28" s="683"/>
      <c r="AB28" s="683"/>
      <c r="AC28" s="683"/>
      <c r="AD28" s="684"/>
    </row>
    <row r="29" spans="2:38">
      <c r="B29" s="600" t="s">
        <v>112</v>
      </c>
      <c r="C29" s="1244" t="s">
        <v>85</v>
      </c>
      <c r="D29" s="1348"/>
      <c r="E29" s="1204" t="s">
        <v>86</v>
      </c>
      <c r="F29" s="1205"/>
      <c r="J29" s="702">
        <v>8</v>
      </c>
      <c r="K29" s="703"/>
      <c r="L29" s="695"/>
      <c r="M29" s="706"/>
      <c r="S29" s="677">
        <v>16</v>
      </c>
      <c r="T29" s="684"/>
      <c r="V29" s="677">
        <v>16</v>
      </c>
      <c r="W29" s="684"/>
      <c r="Y29" s="677">
        <v>17</v>
      </c>
      <c r="Z29" s="683"/>
      <c r="AA29" s="683"/>
      <c r="AB29" s="683"/>
      <c r="AC29" s="683"/>
      <c r="AD29" s="684"/>
    </row>
    <row r="30" spans="2:38">
      <c r="B30" s="711" t="s">
        <v>89</v>
      </c>
      <c r="C30" s="1247" t="str">
        <f>IF(INSTRUCTIONS!$Q$7="Advanced",$L$21, "")</f>
        <v/>
      </c>
      <c r="D30" s="1322"/>
      <c r="E30" s="1247" t="str">
        <f>IF(INSTRUCTIONS!$Q$7="Advanced",$L$12, "")</f>
        <v/>
      </c>
      <c r="F30" s="1322"/>
      <c r="J30" s="702">
        <v>9</v>
      </c>
      <c r="K30" s="703"/>
      <c r="L30" s="695"/>
      <c r="M30" s="706"/>
      <c r="S30" s="677">
        <v>17</v>
      </c>
      <c r="T30" s="684"/>
      <c r="V30" s="677">
        <v>17</v>
      </c>
      <c r="W30" s="684"/>
      <c r="Y30" s="677">
        <v>18</v>
      </c>
      <c r="Z30" s="683"/>
      <c r="AA30" s="683"/>
      <c r="AB30" s="683"/>
      <c r="AC30" s="683"/>
      <c r="AD30" s="684"/>
    </row>
    <row r="31" spans="2:38" ht="29.1">
      <c r="B31" s="691" t="s">
        <v>194</v>
      </c>
      <c r="C31" s="1137" t="str">
        <f>IFERROR(IF(INSTRUCTIONS!$Q$7="Advanced",'Advanced Teacher Analysis'!$P$79, ""), 0)</f>
        <v/>
      </c>
      <c r="D31" s="1138"/>
      <c r="E31" s="1137" t="str">
        <f>IFERROR(IF(INSTRUCTIONS!$Q$7="Advanced",'Advanced Teacher Analysis'!Q79, ""), 0)</f>
        <v/>
      </c>
      <c r="F31" s="1138"/>
      <c r="J31" s="702">
        <v>10</v>
      </c>
      <c r="K31" s="703"/>
      <c r="L31" s="695"/>
      <c r="M31" s="706"/>
      <c r="S31" s="677">
        <v>18</v>
      </c>
      <c r="T31" s="684"/>
      <c r="V31" s="677">
        <v>18</v>
      </c>
      <c r="W31" s="684"/>
      <c r="Y31" s="677">
        <v>19</v>
      </c>
      <c r="Z31" s="683"/>
      <c r="AA31" s="683"/>
      <c r="AB31" s="683"/>
      <c r="AC31" s="683"/>
      <c r="AD31" s="684"/>
    </row>
    <row r="32" spans="2:38">
      <c r="B32" s="600" t="s">
        <v>116</v>
      </c>
      <c r="C32" s="603" t="s">
        <v>82</v>
      </c>
      <c r="D32" s="712" t="s">
        <v>117</v>
      </c>
      <c r="E32" s="603" t="s">
        <v>82</v>
      </c>
      <c r="F32" s="712" t="s">
        <v>117</v>
      </c>
      <c r="J32" s="702">
        <v>11</v>
      </c>
      <c r="K32" s="703"/>
      <c r="L32" s="695"/>
      <c r="M32" s="706"/>
      <c r="S32" s="677">
        <v>19</v>
      </c>
      <c r="T32" s="684"/>
      <c r="V32" s="677">
        <v>19</v>
      </c>
      <c r="W32" s="684"/>
      <c r="Y32" s="677">
        <v>20</v>
      </c>
      <c r="Z32" s="683"/>
      <c r="AA32" s="683"/>
      <c r="AB32" s="683"/>
      <c r="AC32" s="683"/>
      <c r="AD32" s="684"/>
    </row>
    <row r="33" spans="2:30">
      <c r="B33" s="691" t="s">
        <v>119</v>
      </c>
      <c r="C33" s="656" t="str">
        <f>IF(INSTRUCTIONS!$Q$7="Advanced",IF($K$111&gt;0, $K$110, 0), "")</f>
        <v/>
      </c>
      <c r="D33" s="657" t="str">
        <f>IF(INSTRUCTIONS!$Q$7="Advanced",$K$111, "")</f>
        <v/>
      </c>
      <c r="E33" s="658" t="str">
        <f>IF(INSTRUCTIONS!$Q$7="Advanced",IF($L$111&gt;0, $L$110, 0), "")</f>
        <v/>
      </c>
      <c r="F33" s="657" t="str">
        <f>IF(INSTRUCTIONS!$Q$7="Advanced",$L$111, "")</f>
        <v/>
      </c>
      <c r="J33" s="702">
        <v>12</v>
      </c>
      <c r="K33" s="703"/>
      <c r="L33" s="695"/>
      <c r="M33" s="706"/>
      <c r="S33" s="677">
        <v>20</v>
      </c>
      <c r="T33" s="684"/>
      <c r="V33" s="677">
        <v>20</v>
      </c>
      <c r="W33" s="684"/>
      <c r="Y33" s="677">
        <v>21</v>
      </c>
      <c r="Z33" s="683"/>
      <c r="AA33" s="683"/>
      <c r="AB33" s="683"/>
      <c r="AC33" s="683"/>
      <c r="AD33" s="684"/>
    </row>
    <row r="34" spans="2:30" ht="29.1">
      <c r="B34" s="691" t="s">
        <v>121</v>
      </c>
      <c r="C34" s="656" t="str">
        <f>IF(INSTRUCTIONS!$Q$7="Advanced",IF($K$115&gt;0, $K$114, 0), "")</f>
        <v/>
      </c>
      <c r="D34" s="657" t="str">
        <f>IF(INSTRUCTIONS!$Q$7="Advanced",$K$115, "")</f>
        <v/>
      </c>
      <c r="E34" s="658" t="str">
        <f>IF(INSTRUCTIONS!$Q$7="Advanced",IF($L$115&gt;0, $L$114, 0), "")</f>
        <v/>
      </c>
      <c r="F34" s="657" t="str">
        <f>IF(INSTRUCTIONS!$Q$7="Advanced",$L$114, "")</f>
        <v/>
      </c>
      <c r="J34" s="702">
        <v>13</v>
      </c>
      <c r="K34" s="703"/>
      <c r="L34" s="695"/>
      <c r="M34" s="706"/>
      <c r="S34" s="677">
        <v>21</v>
      </c>
      <c r="T34" s="684"/>
      <c r="V34" s="677">
        <v>21</v>
      </c>
      <c r="W34" s="684"/>
      <c r="Y34" s="677">
        <v>22</v>
      </c>
      <c r="Z34" s="683"/>
      <c r="AA34" s="683"/>
      <c r="AB34" s="683"/>
      <c r="AC34" s="683"/>
      <c r="AD34" s="684"/>
    </row>
    <row r="35" spans="2:30">
      <c r="B35" s="691" t="s">
        <v>122</v>
      </c>
      <c r="C35" s="656" t="str">
        <f>IF(INSTRUCTIONS!$Q$7="Advanced",IF($L$93&gt;0, $L$89, 0), "")</f>
        <v/>
      </c>
      <c r="D35" s="657" t="str">
        <f>IF(INSTRUCTIONS!$Q$7="Advanced",$L$93, "")</f>
        <v/>
      </c>
      <c r="E35" s="658" t="str">
        <f>IF(INSTRUCTIONS!$Q$7="Advanced",IF($M$89&gt;0, $M$88, 0), "")</f>
        <v/>
      </c>
      <c r="F35" s="657" t="str">
        <f>IF(INSTRUCTIONS!$Q$7="Advanced",$M$89, "")</f>
        <v/>
      </c>
      <c r="J35" s="702">
        <v>14</v>
      </c>
      <c r="K35" s="703"/>
      <c r="L35" s="695"/>
      <c r="M35" s="706"/>
      <c r="S35" s="677">
        <v>22</v>
      </c>
      <c r="T35" s="684"/>
      <c r="V35" s="677">
        <v>22</v>
      </c>
      <c r="W35" s="684"/>
      <c r="Y35" s="677">
        <v>23</v>
      </c>
      <c r="Z35" s="683"/>
      <c r="AA35" s="683"/>
      <c r="AB35" s="683"/>
      <c r="AC35" s="683"/>
      <c r="AD35" s="684"/>
    </row>
    <row r="36" spans="2:30">
      <c r="B36" s="691" t="s">
        <v>101</v>
      </c>
      <c r="C36" s="773" t="str">
        <f>IF(INSTRUCTIONS!$Q$7="Advanced",SUMIF(L69:L77, "&gt;0", K69:K77), "")</f>
        <v/>
      </c>
      <c r="D36" s="657" t="str">
        <f>IF(INSTRUCTIONS!$Q$7="Advanced",IFERROR(AVERAGEIF(L69:L77, "&gt;0", L69:L77), 0), "")</f>
        <v/>
      </c>
      <c r="E36" s="774" t="str">
        <f>IF(INSTRUCTIONS!$Q$7="Advanced",SUMIF(M69:M77, "&gt;0",K69:K77), "")</f>
        <v/>
      </c>
      <c r="F36" s="657" t="str">
        <f>IFERROR(IF(INSTRUCTIONS!$Q$7="Advanced", AVERAGEIF(M69:M77, "&gt;0",M69:M77), ""), 0)</f>
        <v/>
      </c>
      <c r="J36" s="702">
        <v>15</v>
      </c>
      <c r="K36" s="703"/>
      <c r="L36" s="695"/>
      <c r="M36" s="706"/>
      <c r="S36" s="677">
        <v>23</v>
      </c>
      <c r="T36" s="684"/>
      <c r="V36" s="677">
        <v>23</v>
      </c>
      <c r="W36" s="684"/>
      <c r="Y36" s="677">
        <v>24</v>
      </c>
      <c r="Z36" s="683"/>
      <c r="AA36" s="683"/>
      <c r="AB36" s="683"/>
      <c r="AC36" s="683"/>
      <c r="AD36" s="684"/>
    </row>
    <row r="37" spans="2:30">
      <c r="J37" s="702">
        <v>16</v>
      </c>
      <c r="K37" s="703"/>
      <c r="L37" s="695"/>
      <c r="M37" s="706"/>
      <c r="S37" s="677">
        <v>24</v>
      </c>
      <c r="T37" s="684"/>
      <c r="V37" s="677">
        <v>24</v>
      </c>
      <c r="W37" s="684"/>
      <c r="Y37" s="677">
        <v>25</v>
      </c>
      <c r="Z37" s="683"/>
      <c r="AA37" s="683"/>
      <c r="AB37" s="683"/>
      <c r="AC37" s="683"/>
      <c r="AD37" s="684"/>
    </row>
    <row r="38" spans="2:30">
      <c r="B38" s="597"/>
      <c r="J38" s="702">
        <v>17</v>
      </c>
      <c r="K38" s="703"/>
      <c r="L38" s="695"/>
      <c r="M38" s="706"/>
      <c r="S38" s="677">
        <v>25</v>
      </c>
      <c r="T38" s="684"/>
      <c r="V38" s="677">
        <v>25</v>
      </c>
      <c r="W38" s="684"/>
      <c r="Y38" s="677">
        <v>26</v>
      </c>
      <c r="Z38" s="683"/>
      <c r="AA38" s="683"/>
      <c r="AB38" s="683"/>
      <c r="AC38" s="683"/>
      <c r="AD38" s="684"/>
    </row>
    <row r="39" spans="2:30" ht="21.75" customHeight="1">
      <c r="B39" s="1249" t="s">
        <v>126</v>
      </c>
      <c r="C39" s="1249"/>
      <c r="D39" s="1249"/>
      <c r="E39" s="1249"/>
      <c r="J39" s="702">
        <v>18</v>
      </c>
      <c r="K39" s="703"/>
      <c r="L39" s="695"/>
      <c r="M39" s="706"/>
      <c r="S39" s="677">
        <v>26</v>
      </c>
      <c r="T39" s="684"/>
      <c r="V39" s="677">
        <v>26</v>
      </c>
      <c r="W39" s="684"/>
      <c r="Y39" s="677">
        <v>27</v>
      </c>
      <c r="Z39" s="683"/>
      <c r="AA39" s="683"/>
      <c r="AB39" s="683"/>
      <c r="AC39" s="683"/>
      <c r="AD39" s="684"/>
    </row>
    <row r="40" spans="2:30" ht="23.45" customHeight="1">
      <c r="B40" s="1325" t="s">
        <v>128</v>
      </c>
      <c r="C40" s="1326"/>
      <c r="D40" s="1326"/>
      <c r="E40" s="1327"/>
      <c r="J40" s="702">
        <v>19</v>
      </c>
      <c r="K40" s="703"/>
      <c r="L40" s="695"/>
      <c r="M40" s="706"/>
      <c r="S40" s="677">
        <v>27</v>
      </c>
      <c r="T40" s="684"/>
      <c r="V40" s="677">
        <v>27</v>
      </c>
      <c r="W40" s="684"/>
      <c r="Y40" s="677">
        <v>28</v>
      </c>
      <c r="Z40" s="683"/>
      <c r="AA40" s="683"/>
      <c r="AB40" s="683"/>
      <c r="AC40" s="683"/>
      <c r="AD40" s="684"/>
    </row>
    <row r="41" spans="2:30" ht="23.1" customHeight="1">
      <c r="B41" s="1328"/>
      <c r="C41" s="1329"/>
      <c r="D41" s="1329"/>
      <c r="E41" s="1330"/>
      <c r="J41" s="702">
        <v>20</v>
      </c>
      <c r="K41" s="703"/>
      <c r="L41" s="695"/>
      <c r="M41" s="706"/>
      <c r="S41" s="677">
        <v>28</v>
      </c>
      <c r="T41" s="684"/>
      <c r="V41" s="677">
        <v>28</v>
      </c>
      <c r="W41" s="684"/>
      <c r="Y41" s="677">
        <v>29</v>
      </c>
      <c r="Z41" s="683"/>
      <c r="AA41" s="683"/>
      <c r="AB41" s="683"/>
      <c r="AC41" s="683"/>
      <c r="AD41" s="684"/>
    </row>
    <row r="42" spans="2:30" ht="15" thickBot="1">
      <c r="B42" s="1328"/>
      <c r="C42" s="1329"/>
      <c r="D42" s="1329"/>
      <c r="E42" s="1330"/>
      <c r="J42" s="702">
        <v>21</v>
      </c>
      <c r="K42" s="703"/>
      <c r="L42" s="695"/>
      <c r="M42" s="706"/>
      <c r="S42" s="677">
        <v>29</v>
      </c>
      <c r="T42" s="684"/>
      <c r="V42" s="677">
        <v>29</v>
      </c>
      <c r="W42" s="684"/>
      <c r="Y42" s="687">
        <v>30</v>
      </c>
      <c r="Z42" s="688"/>
      <c r="AA42" s="688"/>
      <c r="AB42" s="688"/>
      <c r="AC42" s="688"/>
      <c r="AD42" s="689"/>
    </row>
    <row r="43" spans="2:30" ht="18.95" customHeight="1" thickBot="1">
      <c r="B43" s="1331"/>
      <c r="C43" s="1332"/>
      <c r="D43" s="1332"/>
      <c r="E43" s="1333"/>
      <c r="J43" s="702">
        <v>22</v>
      </c>
      <c r="K43" s="703"/>
      <c r="L43" s="695"/>
      <c r="M43" s="706"/>
      <c r="S43" s="687">
        <v>30</v>
      </c>
      <c r="T43" s="689"/>
      <c r="V43" s="687">
        <v>30</v>
      </c>
      <c r="W43" s="689"/>
    </row>
    <row r="44" spans="2:30">
      <c r="B44" s="1250"/>
      <c r="C44" s="1251"/>
      <c r="D44" s="612" t="s">
        <v>85</v>
      </c>
      <c r="E44" s="612" t="s">
        <v>86</v>
      </c>
      <c r="J44" s="702">
        <v>23</v>
      </c>
      <c r="K44" s="703"/>
      <c r="L44" s="695"/>
      <c r="M44" s="706"/>
      <c r="S44" s="713" t="s">
        <v>105</v>
      </c>
      <c r="T44" s="139">
        <f>SUM(T13:T43)</f>
        <v>0</v>
      </c>
      <c r="V44" s="713" t="s">
        <v>105</v>
      </c>
      <c r="W44" s="139">
        <f>SUM(W13:W43)</f>
        <v>0</v>
      </c>
    </row>
    <row r="45" spans="2:30">
      <c r="B45" s="1234" t="s">
        <v>132</v>
      </c>
      <c r="C45" s="1234"/>
      <c r="D45" s="835" t="str">
        <f>IF(INSTRUCTIONS!$Q$7="Advanced", 'Advanced Teacher Analysis'!$U$94, "")</f>
        <v/>
      </c>
      <c r="E45" s="835" t="str">
        <f>IFERROR(IF(INSTRUCTIONS!$Q$7="Advanced",'Advanced Teacher Analysis'!$U$87, ""), 0)</f>
        <v/>
      </c>
      <c r="J45" s="702">
        <v>24</v>
      </c>
      <c r="K45" s="703"/>
      <c r="L45" s="695"/>
      <c r="M45" s="706"/>
      <c r="S45" s="776" t="str">
        <f>IF(SUM(T13:T43)&lt;&gt;1,"Total percentage must equal 100%.","")</f>
        <v>Total percentage must equal 100%.</v>
      </c>
      <c r="V45" s="776" t="str">
        <f>IF(SUM(W13:W43)&lt;&gt;1,"Total percentage must equal 100%.","")</f>
        <v>Total percentage must equal 100%.</v>
      </c>
    </row>
    <row r="46" spans="2:30">
      <c r="B46" s="1234" t="s">
        <v>134</v>
      </c>
      <c r="C46" s="1234"/>
      <c r="D46" s="1233" t="str">
        <f>IF(INSTRUCTIONS!$Q$7="Advanced", E45-D45, "")</f>
        <v/>
      </c>
      <c r="E46" s="1233"/>
      <c r="J46" s="702">
        <v>25</v>
      </c>
      <c r="K46" s="703"/>
      <c r="L46" s="695"/>
      <c r="M46" s="706"/>
    </row>
    <row r="47" spans="2:30">
      <c r="J47" s="702">
        <v>26</v>
      </c>
      <c r="K47" s="703"/>
      <c r="L47" s="695"/>
      <c r="M47" s="706"/>
    </row>
    <row r="48" spans="2:30">
      <c r="J48" s="702">
        <v>27</v>
      </c>
      <c r="K48" s="703"/>
      <c r="L48" s="695"/>
      <c r="M48" s="706"/>
    </row>
    <row r="49" spans="10:22">
      <c r="J49" s="702">
        <v>28</v>
      </c>
      <c r="K49" s="703"/>
      <c r="L49" s="695"/>
      <c r="M49" s="706"/>
    </row>
    <row r="50" spans="10:22" ht="15" customHeight="1">
      <c r="J50" s="702">
        <v>29</v>
      </c>
      <c r="K50" s="703"/>
      <c r="L50" s="695"/>
      <c r="M50" s="706"/>
    </row>
    <row r="51" spans="10:22" ht="15" thickBot="1">
      <c r="J51" s="714">
        <v>30</v>
      </c>
      <c r="K51" s="715"/>
      <c r="L51" s="700"/>
      <c r="M51" s="716"/>
    </row>
    <row r="53" spans="10:22" ht="15" thickBot="1">
      <c r="J53" s="713"/>
      <c r="K53" s="717"/>
      <c r="L53" s="718"/>
      <c r="M53" s="719"/>
    </row>
    <row r="54" spans="10:22">
      <c r="J54" s="1176" t="s">
        <v>154</v>
      </c>
      <c r="K54" s="1177"/>
      <c r="L54" s="1177"/>
      <c r="M54" s="1178"/>
    </row>
    <row r="55" spans="10:22">
      <c r="J55" s="720" t="s">
        <v>195</v>
      </c>
      <c r="K55" s="721"/>
      <c r="L55" s="722"/>
      <c r="M55" s="932"/>
    </row>
    <row r="56" spans="10:22" ht="15" thickBot="1">
      <c r="J56" s="723" t="s">
        <v>196</v>
      </c>
      <c r="K56" s="724"/>
      <c r="L56" s="725"/>
      <c r="M56" s="915"/>
    </row>
    <row r="57" spans="10:22" ht="15" thickBot="1">
      <c r="N57" s="726"/>
    </row>
    <row r="58" spans="10:22">
      <c r="J58" s="1190" t="s">
        <v>62</v>
      </c>
      <c r="K58" s="1191"/>
      <c r="L58" s="1191"/>
      <c r="M58" s="1192"/>
    </row>
    <row r="59" spans="10:22">
      <c r="J59" s="1170" t="s">
        <v>96</v>
      </c>
      <c r="K59" s="1171"/>
      <c r="L59" s="1171"/>
      <c r="M59" s="1172"/>
    </row>
    <row r="60" spans="10:22">
      <c r="J60" s="651" t="s">
        <v>98</v>
      </c>
      <c r="K60" s="1028" t="s">
        <v>143</v>
      </c>
      <c r="L60" s="1029" t="s">
        <v>99</v>
      </c>
      <c r="M60" s="1030" t="s">
        <v>100</v>
      </c>
      <c r="N60" s="727"/>
      <c r="T60" s="665"/>
      <c r="U60" s="665"/>
      <c r="V60" s="665"/>
    </row>
    <row r="61" spans="10:22">
      <c r="J61" s="728" t="s">
        <v>102</v>
      </c>
      <c r="K61" s="729"/>
      <c r="L61" s="730"/>
      <c r="M61" s="731"/>
      <c r="N61" s="732"/>
      <c r="T61" s="733"/>
      <c r="U61" s="733"/>
      <c r="V61" s="733"/>
    </row>
    <row r="62" spans="10:22">
      <c r="J62" s="734" t="s">
        <v>104</v>
      </c>
      <c r="K62" s="735"/>
      <c r="L62" s="736"/>
      <c r="M62" s="591"/>
      <c r="T62" s="665"/>
      <c r="U62" s="665"/>
      <c r="V62" s="665"/>
    </row>
    <row r="63" spans="10:22" ht="15" thickBot="1">
      <c r="J63" s="737" t="s">
        <v>106</v>
      </c>
      <c r="K63" s="738"/>
      <c r="L63" s="739"/>
      <c r="M63" s="595"/>
      <c r="T63" s="665"/>
      <c r="U63" s="665"/>
      <c r="V63" s="665"/>
    </row>
    <row r="64" spans="10:22" ht="18.95" customHeight="1" thickBot="1">
      <c r="K64" s="545"/>
      <c r="L64" s="545"/>
      <c r="M64" s="545"/>
      <c r="T64" s="665"/>
      <c r="U64" s="665"/>
      <c r="V64" s="665"/>
    </row>
    <row r="65" spans="10:13" ht="28.5" customHeight="1">
      <c r="J65" s="1313" t="s">
        <v>197</v>
      </c>
      <c r="K65" s="1314"/>
      <c r="L65" s="1314"/>
      <c r="M65" s="1315"/>
    </row>
    <row r="66" spans="10:13" ht="42.95" customHeight="1">
      <c r="J66" s="1316" t="s">
        <v>198</v>
      </c>
      <c r="K66" s="1317"/>
      <c r="L66" s="1317"/>
      <c r="M66" s="1318"/>
    </row>
    <row r="67" spans="10:13" ht="28.5" customHeight="1">
      <c r="J67" s="740" t="s">
        <v>133</v>
      </c>
      <c r="K67" s="741" t="s">
        <v>82</v>
      </c>
      <c r="L67" s="741" t="s">
        <v>199</v>
      </c>
      <c r="M67" s="742" t="s">
        <v>200</v>
      </c>
    </row>
    <row r="68" spans="10:13">
      <c r="J68" s="622"/>
      <c r="K68" s="618"/>
      <c r="L68" s="1075"/>
      <c r="M68" s="1076"/>
    </row>
    <row r="69" spans="10:13">
      <c r="J69" s="743"/>
      <c r="K69" s="618"/>
      <c r="L69" s="590"/>
      <c r="M69" s="591"/>
    </row>
    <row r="70" spans="10:13">
      <c r="J70" s="744"/>
      <c r="K70" s="618"/>
      <c r="L70" s="590"/>
      <c r="M70" s="591"/>
    </row>
    <row r="71" spans="10:13">
      <c r="J71" s="745"/>
      <c r="K71" s="618"/>
      <c r="L71" s="590"/>
      <c r="M71" s="591"/>
    </row>
    <row r="72" spans="10:13">
      <c r="J72" s="615"/>
      <c r="K72" s="746"/>
      <c r="L72" s="747"/>
      <c r="M72" s="748"/>
    </row>
    <row r="73" spans="10:13">
      <c r="J73" s="622"/>
      <c r="K73" s="618"/>
      <c r="L73" s="590"/>
      <c r="M73" s="591"/>
    </row>
    <row r="74" spans="10:13">
      <c r="J74" s="622"/>
      <c r="K74" s="618"/>
      <c r="L74" s="590"/>
      <c r="M74" s="591"/>
    </row>
    <row r="75" spans="10:13">
      <c r="J75" s="744"/>
      <c r="K75" s="618"/>
      <c r="L75" s="590"/>
      <c r="M75" s="591"/>
    </row>
    <row r="76" spans="10:13">
      <c r="J76" s="621"/>
      <c r="K76" s="618"/>
      <c r="L76" s="590"/>
      <c r="M76" s="591"/>
    </row>
    <row r="77" spans="10:13" ht="15" thickBot="1">
      <c r="J77" s="623"/>
      <c r="K77" s="749"/>
      <c r="L77" s="750"/>
      <c r="M77" s="595"/>
    </row>
    <row r="78" spans="10:13">
      <c r="J78" s="751"/>
      <c r="K78" s="289" t="str">
        <f>IF(SUM(K68:K77)&lt;&gt;1,"Total percentage must equal 100%.","")</f>
        <v>Total percentage must equal 100%.</v>
      </c>
      <c r="M78" s="717"/>
    </row>
    <row r="79" spans="10:13" ht="15" thickBot="1">
      <c r="J79" s="751"/>
      <c r="L79" s="545"/>
      <c r="M79" s="717"/>
    </row>
    <row r="80" spans="10:13" ht="30.6" customHeight="1">
      <c r="J80" s="1313" t="s">
        <v>201</v>
      </c>
      <c r="K80" s="1314"/>
      <c r="L80" s="1315"/>
      <c r="M80" s="717"/>
    </row>
    <row r="81" spans="10:14" ht="29.1" customHeight="1">
      <c r="J81" s="1316" t="s">
        <v>136</v>
      </c>
      <c r="K81" s="1317"/>
      <c r="L81" s="1318"/>
      <c r="M81" s="753"/>
    </row>
    <row r="82" spans="10:14" ht="29.45" customHeight="1">
      <c r="J82" s="754"/>
      <c r="K82" s="755" t="s">
        <v>85</v>
      </c>
      <c r="L82" s="742" t="s">
        <v>86</v>
      </c>
      <c r="M82" s="717"/>
    </row>
    <row r="83" spans="10:14" ht="29.45" customHeight="1" thickBot="1">
      <c r="J83" s="775" t="str">
        <f>CONCATENATE("Pay freeze for ineffective teachers (Yes/No)" )</f>
        <v>Pay freeze for ineffective teachers (Yes/No)</v>
      </c>
      <c r="K83" s="628"/>
      <c r="L83" s="629"/>
      <c r="M83" s="717"/>
    </row>
    <row r="84" spans="10:14" ht="15" thickBot="1">
      <c r="K84" s="545"/>
      <c r="L84" s="545"/>
      <c r="M84" s="545"/>
    </row>
    <row r="85" spans="10:14" ht="14.45" customHeight="1">
      <c r="J85" s="1151" t="s">
        <v>202</v>
      </c>
      <c r="K85" s="1152"/>
      <c r="L85" s="1152"/>
      <c r="M85" s="1152"/>
      <c r="N85" s="1153"/>
    </row>
    <row r="86" spans="10:14" ht="38.450000000000003" customHeight="1">
      <c r="J86" s="1145" t="s">
        <v>138</v>
      </c>
      <c r="K86" s="1146"/>
      <c r="L86" s="1146"/>
      <c r="M86" s="1146"/>
      <c r="N86" s="1147"/>
    </row>
    <row r="87" spans="10:14">
      <c r="J87" s="757"/>
      <c r="K87" s="1160" t="s">
        <v>85</v>
      </c>
      <c r="L87" s="1161"/>
      <c r="M87" s="1162" t="s">
        <v>86</v>
      </c>
      <c r="N87" s="1163"/>
    </row>
    <row r="88" spans="10:14">
      <c r="J88" s="758" t="s">
        <v>142</v>
      </c>
      <c r="K88" s="759" t="s">
        <v>82</v>
      </c>
      <c r="L88" s="759" t="s">
        <v>203</v>
      </c>
      <c r="M88" s="759" t="s">
        <v>82</v>
      </c>
      <c r="N88" s="760" t="s">
        <v>203</v>
      </c>
    </row>
    <row r="89" spans="10:14">
      <c r="J89" s="644"/>
      <c r="K89" s="618"/>
      <c r="L89" s="646"/>
      <c r="M89" s="618"/>
      <c r="N89" s="647"/>
    </row>
    <row r="90" spans="10:14">
      <c r="J90" s="644"/>
      <c r="K90" s="618"/>
      <c r="L90" s="646"/>
      <c r="M90" s="618"/>
      <c r="N90" s="647"/>
    </row>
    <row r="91" spans="10:14">
      <c r="J91" s="644"/>
      <c r="K91" s="618"/>
      <c r="L91" s="646"/>
      <c r="M91" s="618"/>
      <c r="N91" s="647"/>
    </row>
    <row r="92" spans="10:14">
      <c r="J92" s="644"/>
      <c r="K92" s="618"/>
      <c r="L92" s="646"/>
      <c r="M92" s="618"/>
      <c r="N92" s="647"/>
    </row>
    <row r="93" spans="10:14" ht="15" thickBot="1">
      <c r="J93" s="648"/>
      <c r="K93" s="606"/>
      <c r="L93" s="594"/>
      <c r="M93" s="606"/>
      <c r="N93" s="595"/>
    </row>
    <row r="94" spans="10:14" ht="15" thickBot="1">
      <c r="J94" s="550"/>
      <c r="K94" s="632"/>
      <c r="L94" s="761"/>
      <c r="M94" s="632"/>
      <c r="N94" s="761"/>
    </row>
    <row r="95" spans="10:14" ht="14.45" customHeight="1">
      <c r="J95" s="1151" t="s">
        <v>204</v>
      </c>
      <c r="K95" s="1152"/>
      <c r="L95" s="1152"/>
      <c r="M95" s="1152"/>
      <c r="N95" s="1153"/>
    </row>
    <row r="96" spans="10:14" ht="26.45" customHeight="1">
      <c r="J96" s="1145" t="s">
        <v>205</v>
      </c>
      <c r="K96" s="1146"/>
      <c r="L96" s="1146"/>
      <c r="M96" s="1146"/>
      <c r="N96" s="1147"/>
    </row>
    <row r="97" spans="2:17" ht="28.5" customHeight="1">
      <c r="J97" s="757"/>
      <c r="K97" s="1160" t="s">
        <v>85</v>
      </c>
      <c r="L97" s="1161"/>
      <c r="M97" s="1162" t="s">
        <v>86</v>
      </c>
      <c r="N97" s="1163"/>
    </row>
    <row r="98" spans="2:17" ht="17.45" customHeight="1">
      <c r="J98" s="758" t="s">
        <v>142</v>
      </c>
      <c r="K98" s="759" t="s">
        <v>143</v>
      </c>
      <c r="L98" s="759" t="s">
        <v>206</v>
      </c>
      <c r="M98" s="759" t="s">
        <v>143</v>
      </c>
      <c r="N98" s="760" t="s">
        <v>206</v>
      </c>
    </row>
    <row r="99" spans="2:17">
      <c r="J99" s="644"/>
      <c r="K99" s="645"/>
      <c r="L99" s="646"/>
      <c r="M99" s="645"/>
      <c r="N99" s="647"/>
    </row>
    <row r="100" spans="2:17">
      <c r="J100" s="644"/>
      <c r="K100" s="645"/>
      <c r="L100" s="646"/>
      <c r="M100" s="645"/>
      <c r="N100" s="647"/>
    </row>
    <row r="101" spans="2:17">
      <c r="J101" s="644"/>
      <c r="K101" s="645"/>
      <c r="L101" s="646"/>
      <c r="M101" s="645"/>
      <c r="N101" s="647"/>
    </row>
    <row r="102" spans="2:17">
      <c r="J102" s="644"/>
      <c r="K102" s="645"/>
      <c r="L102" s="646"/>
      <c r="M102" s="645"/>
      <c r="N102" s="647"/>
    </row>
    <row r="103" spans="2:17" ht="15" thickBot="1">
      <c r="J103" s="648"/>
      <c r="K103" s="649"/>
      <c r="L103" s="594"/>
      <c r="M103" s="649"/>
      <c r="N103" s="595"/>
    </row>
    <row r="104" spans="2:17">
      <c r="J104" s="550"/>
      <c r="K104" s="632"/>
      <c r="L104" s="761"/>
      <c r="M104" s="632"/>
      <c r="N104" s="761"/>
    </row>
    <row r="105" spans="2:17" ht="15" thickBot="1">
      <c r="J105" s="550"/>
      <c r="K105" s="632"/>
      <c r="L105" s="761"/>
      <c r="M105" s="761"/>
    </row>
    <row r="106" spans="2:17">
      <c r="J106" s="1268" t="s">
        <v>155</v>
      </c>
      <c r="K106" s="1269"/>
      <c r="L106" s="1270"/>
      <c r="M106" s="761"/>
    </row>
    <row r="107" spans="2:17">
      <c r="J107" s="1319" t="s">
        <v>145</v>
      </c>
      <c r="K107" s="1320"/>
      <c r="L107" s="1321"/>
      <c r="M107" s="761"/>
    </row>
    <row r="108" spans="2:17">
      <c r="J108" s="1307" t="s">
        <v>146</v>
      </c>
      <c r="K108" s="1308"/>
      <c r="L108" s="1309"/>
      <c r="M108" s="761"/>
    </row>
    <row r="109" spans="2:17">
      <c r="J109" s="762"/>
      <c r="K109" s="741" t="s">
        <v>85</v>
      </c>
      <c r="L109" s="742" t="s">
        <v>86</v>
      </c>
      <c r="M109" s="761"/>
    </row>
    <row r="110" spans="2:17">
      <c r="J110" s="763" t="s">
        <v>82</v>
      </c>
      <c r="K110" s="635"/>
      <c r="L110" s="567"/>
      <c r="M110" s="761"/>
    </row>
    <row r="111" spans="2:17" ht="15" thickBot="1">
      <c r="J111" s="764" t="s">
        <v>139</v>
      </c>
      <c r="K111" s="637"/>
      <c r="L111" s="765"/>
      <c r="M111" s="761"/>
    </row>
    <row r="112" spans="2:17" s="766" customFormat="1" ht="15.6" customHeight="1">
      <c r="B112" s="545"/>
      <c r="C112" s="545"/>
      <c r="D112" s="545"/>
      <c r="E112" s="545"/>
      <c r="F112" s="545"/>
      <c r="H112" s="767"/>
      <c r="J112" s="1310" t="s">
        <v>147</v>
      </c>
      <c r="K112" s="1311"/>
      <c r="L112" s="1312"/>
      <c r="M112" s="761"/>
      <c r="N112" s="545"/>
      <c r="O112"/>
      <c r="Q112" s="767"/>
    </row>
    <row r="113" spans="2:13">
      <c r="J113" s="768"/>
      <c r="K113" s="769" t="s">
        <v>85</v>
      </c>
      <c r="L113" s="770" t="s">
        <v>86</v>
      </c>
      <c r="M113" s="761"/>
    </row>
    <row r="114" spans="2:13">
      <c r="J114" s="740" t="s">
        <v>82</v>
      </c>
      <c r="K114" s="618"/>
      <c r="L114" s="567"/>
      <c r="M114" s="761"/>
    </row>
    <row r="115" spans="2:13" ht="15" thickBot="1">
      <c r="F115" s="766"/>
      <c r="J115" s="756" t="s">
        <v>139</v>
      </c>
      <c r="K115" s="594"/>
      <c r="L115" s="765"/>
      <c r="M115" s="761"/>
    </row>
    <row r="116" spans="2:13">
      <c r="J116" s="550"/>
      <c r="K116" s="632"/>
      <c r="L116" s="761"/>
      <c r="M116" s="761"/>
    </row>
    <row r="118" spans="2:13">
      <c r="B118" s="766"/>
      <c r="C118" s="766"/>
      <c r="D118" s="766"/>
      <c r="E118" s="766"/>
    </row>
    <row r="127" spans="2:13" ht="14.45" customHeight="1"/>
    <row r="133" spans="10:14">
      <c r="N133" s="766"/>
    </row>
    <row r="136" spans="10:14">
      <c r="J136" s="751"/>
      <c r="K136" s="752"/>
      <c r="L136" s="545"/>
      <c r="M136" s="717"/>
    </row>
    <row r="137" spans="10:14">
      <c r="K137" s="545"/>
      <c r="L137" s="545"/>
      <c r="M137" s="545"/>
    </row>
    <row r="138" spans="10:14">
      <c r="K138" s="545"/>
      <c r="L138" s="545"/>
      <c r="M138" s="545"/>
    </row>
    <row r="139" spans="10:14">
      <c r="K139" s="545"/>
      <c r="L139" s="545"/>
      <c r="M139" s="545"/>
    </row>
    <row r="140" spans="10:14">
      <c r="K140" s="545"/>
      <c r="L140" s="545"/>
      <c r="M140" s="545"/>
    </row>
    <row r="141" spans="10:14">
      <c r="K141" s="545"/>
      <c r="L141" s="545"/>
      <c r="M141" s="545"/>
    </row>
    <row r="142" spans="10:14">
      <c r="K142" s="545"/>
      <c r="L142" s="545"/>
      <c r="M142" s="545"/>
    </row>
    <row r="143" spans="10:14">
      <c r="K143" s="545"/>
      <c r="L143" s="545"/>
      <c r="M143" s="545"/>
    </row>
    <row r="144" spans="10:14">
      <c r="K144" s="545"/>
      <c r="L144" s="545"/>
      <c r="M144" s="545"/>
    </row>
    <row r="145" spans="11:13">
      <c r="K145" s="545"/>
      <c r="L145" s="545"/>
      <c r="M145" s="717"/>
    </row>
    <row r="146" spans="11:13">
      <c r="K146" s="545"/>
      <c r="L146" s="545"/>
      <c r="M146" s="717"/>
    </row>
    <row r="242" spans="11:13">
      <c r="K242" s="545"/>
      <c r="L242" s="545"/>
      <c r="M242" s="545"/>
    </row>
    <row r="243" spans="11:13">
      <c r="K243" s="545"/>
      <c r="L243" s="545"/>
      <c r="M243" s="545"/>
    </row>
  </sheetData>
  <sheetProtection algorithmName="SHA-512" hashValue="Wsr8JMgW2VVL6gmH9IRH24MFxUpJ0GWTEHbjSevY2QuJTtuXdrg1eYfN/r3VenTE2a58ng4zkvcOP9tHcqbM7g==" saltValue="tNNqUw2epACb8CrNIBpK8g==" spinCount="100000" sheet="1" objects="1" scenarios="1"/>
  <mergeCells count="87">
    <mergeCell ref="B46:C46"/>
    <mergeCell ref="D46:E46"/>
    <mergeCell ref="B39:E39"/>
    <mergeCell ref="B44:C44"/>
    <mergeCell ref="J10:L10"/>
    <mergeCell ref="E30:F30"/>
    <mergeCell ref="C23:D23"/>
    <mergeCell ref="E23:F23"/>
    <mergeCell ref="C24:D24"/>
    <mergeCell ref="E24:F24"/>
    <mergeCell ref="C29:D29"/>
    <mergeCell ref="E29:F29"/>
    <mergeCell ref="E25:F25"/>
    <mergeCell ref="B25:D25"/>
    <mergeCell ref="B45:C45"/>
    <mergeCell ref="C31:D31"/>
    <mergeCell ref="E31:F31"/>
    <mergeCell ref="C30:D30"/>
    <mergeCell ref="N2:O2"/>
    <mergeCell ref="B40:E43"/>
    <mergeCell ref="B27:F27"/>
    <mergeCell ref="B28:F28"/>
    <mergeCell ref="D10:E10"/>
    <mergeCell ref="C21:D21"/>
    <mergeCell ref="E21:F21"/>
    <mergeCell ref="C22:D22"/>
    <mergeCell ref="E22:F22"/>
    <mergeCell ref="C20:D20"/>
    <mergeCell ref="E20:F20"/>
    <mergeCell ref="C15:D15"/>
    <mergeCell ref="E15:F15"/>
    <mergeCell ref="K15:L15"/>
    <mergeCell ref="J108:L108"/>
    <mergeCell ref="J112:L112"/>
    <mergeCell ref="J65:M65"/>
    <mergeCell ref="J66:M66"/>
    <mergeCell ref="J80:L80"/>
    <mergeCell ref="J81:L81"/>
    <mergeCell ref="J85:N85"/>
    <mergeCell ref="J86:N86"/>
    <mergeCell ref="J107:L107"/>
    <mergeCell ref="AF9:AH9"/>
    <mergeCell ref="AF10:AH10"/>
    <mergeCell ref="Y9:AD9"/>
    <mergeCell ref="Y10:AD10"/>
    <mergeCell ref="B2:F2"/>
    <mergeCell ref="B3:F6"/>
    <mergeCell ref="B8:F8"/>
    <mergeCell ref="B9:F9"/>
    <mergeCell ref="B10:C10"/>
    <mergeCell ref="S2:V2"/>
    <mergeCell ref="S3:V6"/>
    <mergeCell ref="J3:L6"/>
    <mergeCell ref="S9:T9"/>
    <mergeCell ref="V9:W9"/>
    <mergeCell ref="J9:L9"/>
    <mergeCell ref="L7:N7"/>
    <mergeCell ref="J14:L14"/>
    <mergeCell ref="S11:T11"/>
    <mergeCell ref="V11:W11"/>
    <mergeCell ref="B11:C11"/>
    <mergeCell ref="D11:E11"/>
    <mergeCell ref="B13:F13"/>
    <mergeCell ref="B14:F14"/>
    <mergeCell ref="J54:M54"/>
    <mergeCell ref="J106:L106"/>
    <mergeCell ref="J58:M58"/>
    <mergeCell ref="K87:L87"/>
    <mergeCell ref="M87:N87"/>
    <mergeCell ref="K97:L97"/>
    <mergeCell ref="M97:N97"/>
    <mergeCell ref="J95:N95"/>
    <mergeCell ref="J96:N96"/>
    <mergeCell ref="J59:M59"/>
    <mergeCell ref="AF23:AK23"/>
    <mergeCell ref="AF17:AL17"/>
    <mergeCell ref="AF16:AL16"/>
    <mergeCell ref="C19:D19"/>
    <mergeCell ref="J19:M19"/>
    <mergeCell ref="C16:D16"/>
    <mergeCell ref="E16:F16"/>
    <mergeCell ref="C17:D17"/>
    <mergeCell ref="E17:F17"/>
    <mergeCell ref="C18:D18"/>
    <mergeCell ref="E18:F18"/>
    <mergeCell ref="J18:M18"/>
    <mergeCell ref="E19:F19"/>
  </mergeCells>
  <conditionalFormatting sqref="K7:K8">
    <cfRule type="cellIs" dxfId="48" priority="22" operator="equal">
      <formula>"Basic"</formula>
    </cfRule>
    <cfRule type="cellIs" dxfId="47" priority="23" operator="equal">
      <formula>"Advanced"</formula>
    </cfRule>
    <cfRule type="cellIs" dxfId="46" priority="26" operator="equal">
      <formula>"Advanced"</formula>
    </cfRule>
    <cfRule type="cellIs" dxfId="45" priority="27" operator="equal">
      <formula>"Basic"</formula>
    </cfRule>
    <cfRule type="cellIs" dxfId="44" priority="28" operator="equal">
      <formula>"""Basic"""</formula>
    </cfRule>
  </conditionalFormatting>
  <conditionalFormatting sqref="L7">
    <cfRule type="cellIs" dxfId="43" priority="20" operator="equal">
      <formula>"ERROR: Ensure 'Advanced' is selected in the INSTRUCTIONS tab if using this tab for teacher inputs"</formula>
    </cfRule>
    <cfRule type="cellIs" dxfId="42" priority="21" operator="equal">
      <formula>"ERROR: Ensure 'Advanced' is selected if using this tab for teacher inputs"</formula>
    </cfRule>
    <cfRule type="cellIs" dxfId="41" priority="24" operator="equal">
      <formula>"Ensure 'Advanced' is selected if using this tab for teacher inputs"</formula>
    </cfRule>
  </conditionalFormatting>
  <conditionalFormatting sqref="L7:L8">
    <cfRule type="cellIs" dxfId="40" priority="25" operator="equal">
      <formula>"Ensure 'Basic' is selected if using this tab for teacher inputs"</formula>
    </cfRule>
  </conditionalFormatting>
  <conditionalFormatting sqref="M21:M51 M53:M54">
    <cfRule type="expression" dxfId="39" priority="34">
      <formula>$K$15="Flat Salary Increase ($)"</formula>
    </cfRule>
  </conditionalFormatting>
  <conditionalFormatting sqref="M21:M51">
    <cfRule type="expression" dxfId="38" priority="32">
      <formula>$K$15="Percent of Salary Midpoint Increase (%)"</formula>
    </cfRule>
    <cfRule type="expression" dxfId="37" priority="33">
      <formula>$K$15="Percent of Salary Increase (%)"</formula>
    </cfRule>
  </conditionalFormatting>
  <conditionalFormatting sqref="T44">
    <cfRule type="cellIs" dxfId="36" priority="1" operator="notEqual">
      <formula>1</formula>
    </cfRule>
    <cfRule type="cellIs" dxfId="35" priority="2" operator="equal">
      <formula>1</formula>
    </cfRule>
  </conditionalFormatting>
  <conditionalFormatting sqref="W44">
    <cfRule type="cellIs" dxfId="34" priority="3" operator="notEqual">
      <formula>1</formula>
    </cfRule>
    <cfRule type="cellIs" dxfId="33" priority="4" operator="equal">
      <formula>1</formula>
    </cfRule>
  </conditionalFormatting>
  <dataValidations count="12">
    <dataValidation type="list" allowBlank="1" showInputMessage="1" showErrorMessage="1" sqref="N62" xr:uid="{56F4208E-10D3-4252-8810-91361D854E46}">
      <formula1>"Flat Salary Increase ($), Percent of Salary Increase (%), Percent of Salary Midpoint Increase (%)"</formula1>
    </dataValidation>
    <dataValidation type="list" allowBlank="1" showInputMessage="1" showErrorMessage="1" sqref="K15" xr:uid="{70C95ADB-FF8F-4C77-8180-BFF307C2982D}">
      <formula1>"Flat Salary Increase ($), Percent of Salary Midpoint Increase (%)"</formula1>
    </dataValidation>
    <dataValidation allowBlank="1" showInputMessage="1" showErrorMessage="1" prompt="This percentage should include all benefits costs (e.g. healthcare, retirement, FICA)." sqref="M55" xr:uid="{F1579C5D-6DC6-4A56-9FD2-FAD97725E51E}"/>
    <dataValidation allowBlank="1" showInputMessage="1" showErrorMessage="1" prompt="This percentage should include only the aspects of benefits that are applied to stipends (typically a smaller percentage than the benefits rate applied to salary)." sqref="M56" xr:uid="{21DFCE92-0D95-4131-814E-C2D4F604BB7F}"/>
    <dataValidation allowBlank="1" showInputMessage="1" showErrorMessage="1" prompt="Categories must be entered from least effective to most effective. This cell should contain the category describing your least effective teachers." sqref="J68" xr:uid="{BA120F9B-09C4-41BE-B278-63700DB92135}"/>
    <dataValidation allowBlank="1" showInputMessage="1" showErrorMessage="1" prompt="This number may vary from year to year, so an annual approximation may be used." sqref="T10 W10" xr:uid="{CBACFAC5-3FC0-4BB0-A039-C79E0A9CAF3B}"/>
    <dataValidation allowBlank="1" showInputMessage="1" showErrorMessage="1" prompt="Enter the percent you expect all teacher salaries for teachers with 0 years of experience to increase. This could be due to inflation-based salary adjustments or board-approved pay increases, for example." sqref="Z12" xr:uid="{FAB5E856-084F-4099-84FD-94B95B47A834}"/>
    <dataValidation allowBlank="1" showInputMessage="1" showErrorMessage="1" prompt="These percentages do not need to add up to 100%." sqref="K89" xr:uid="{231FBF9B-C561-41B4-9CB6-8B256AD9F2F3}"/>
    <dataValidation allowBlank="1" showInputMessage="1" showErrorMessage="1" prompt="Entering additional roles here is optional. Any roles entered will be used later in the tradeoff levers tab as you consider potential savings options." sqref="J99" xr:uid="{C23B3E35-CA59-4F73-A6EE-88AAFBDBE1C6}"/>
    <dataValidation type="list" allowBlank="1" showInputMessage="1" showErrorMessage="1" sqref="K83" xr:uid="{14842B79-1583-43AB-BAD1-9338FDCCFD6E}">
      <formula1>"Yes, No"</formula1>
    </dataValidation>
    <dataValidation type="list" allowBlank="1" showInputMessage="1" showErrorMessage="1" prompt="Freezing pay for ineffective teachers allows the money that would've been spent on their raises to be repurposed into more strategic spending." sqref="L83" xr:uid="{9DF76DDE-E65A-46C5-B703-2BAE3F5238A8}">
      <formula1>"Yes, No"</formula1>
    </dataValidation>
    <dataValidation allowBlank="1" showInputMessage="1" showErrorMessage="1" prompt="This cell pre-populates with the starting salary entered in cell K12 above._x000a_" sqref="L21" xr:uid="{87DAD849-0B37-4F14-B234-8D4976690E64}"/>
  </dataValidations>
  <hyperlinks>
    <hyperlink ref="N3" location="'Advanced - Teachers'!J9" display="1. Salary" xr:uid="{A02BC0A4-E917-4E87-9E20-1E2F182541F7}"/>
    <hyperlink ref="N4" location="'Advanced - Teachers'!J54" display="2. Benefits" xr:uid="{93341D29-A9A9-48CC-B4F0-C1DC00BE546B}"/>
    <hyperlink ref="N5" location="'Advanced - Teachers'!J58" display="3. Education" xr:uid="{934D59F1-3F39-44A9-BE1C-0D1B60E0CBE3}"/>
    <hyperlink ref="N6" location="'Advanced - Teachers'!J65" display="4. Effectiveness" xr:uid="{9CC769E0-F5D6-4501-91D8-28C721000C3E}"/>
    <hyperlink ref="O3" location="'Advanced - Teachers'!J85" display="5. Roles" xr:uid="{1CD1A5A7-E87F-4B07-9450-AC83296F3C72}"/>
    <hyperlink ref="O4" location="'Advanced - Teachers'!J106" display="6. Critical Needs Areas" xr:uid="{58560E42-CD46-47E6-94F7-707FFB3B9158}"/>
  </hyperlinks>
  <pageMargins left="0.7" right="0.7" top="0.75" bottom="0.75" header="0.3" footer="0.3"/>
  <pageSetup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665BB-8B54-4EF5-ADF4-0280084326A0}">
  <sheetPr codeName="Sheet5">
    <tabColor theme="5" tint="0.39997558519241921"/>
  </sheetPr>
  <dimension ref="B1:Z78"/>
  <sheetViews>
    <sheetView showGridLines="0" zoomScaleNormal="100" workbookViewId="0">
      <pane xSplit="7" ySplit="7" topLeftCell="H8" activePane="bottomRight" state="frozen"/>
      <selection pane="bottomRight" activeCell="T10" sqref="T10:V10"/>
      <selection pane="bottomLeft" activeCell="A6" sqref="A6"/>
      <selection pane="topRight" activeCell="H1" sqref="H1"/>
    </sheetView>
  </sheetViews>
  <sheetFormatPr defaultColWidth="8.7109375" defaultRowHeight="14.45"/>
  <cols>
    <col min="1" max="1" width="4.140625" style="545" customWidth="1"/>
    <col min="2" max="2" width="17.85546875" style="545" customWidth="1"/>
    <col min="3" max="3" width="8.7109375" style="545"/>
    <col min="4" max="4" width="13.42578125" style="545" customWidth="1"/>
    <col min="5" max="5" width="11.42578125" style="545" customWidth="1"/>
    <col min="6" max="6" width="16.42578125" style="545" customWidth="1"/>
    <col min="7" max="7" width="4.85546875" style="545" customWidth="1"/>
    <col min="8" max="8" width="3.42578125" style="547" customWidth="1"/>
    <col min="9" max="9" width="6" style="545" customWidth="1"/>
    <col min="10" max="10" width="22.140625" style="549" customWidth="1"/>
    <col min="11" max="11" width="22.140625" style="550" customWidth="1"/>
    <col min="12" max="12" width="23" style="545" customWidth="1"/>
    <col min="13" max="13" width="20.5703125" style="545" customWidth="1"/>
    <col min="14" max="14" width="27.42578125" style="545" customWidth="1"/>
    <col min="15" max="15" width="23.42578125" style="545" customWidth="1"/>
    <col min="16" max="16" width="22.85546875" style="545" customWidth="1"/>
    <col min="17" max="17" width="4.5703125" style="545" customWidth="1"/>
    <col min="18" max="18" width="3.42578125" style="547" customWidth="1"/>
    <col min="19" max="19" width="3.85546875" style="545" customWidth="1"/>
    <col min="20" max="20" width="33.140625" style="545" customWidth="1"/>
    <col min="21" max="21" width="12.85546875" style="545" customWidth="1"/>
    <col min="22" max="22" width="18" style="545" customWidth="1"/>
    <col min="23" max="23" width="17.42578125" style="545" customWidth="1"/>
    <col min="24" max="24" width="4.140625" style="545" customWidth="1"/>
    <col min="25" max="25" width="4" style="547" customWidth="1"/>
    <col min="26" max="16384" width="8.7109375" style="545"/>
  </cols>
  <sheetData>
    <row r="1" spans="2:26" ht="15" thickBot="1"/>
    <row r="2" spans="2:26" ht="24" thickBot="1">
      <c r="B2" s="1280" t="s">
        <v>207</v>
      </c>
      <c r="C2" s="1281"/>
      <c r="D2" s="1281"/>
      <c r="E2" s="1281"/>
      <c r="F2" s="1282"/>
      <c r="J2" s="1096" t="s">
        <v>52</v>
      </c>
      <c r="K2" s="1096"/>
      <c r="L2" s="1097"/>
      <c r="N2" s="1104" t="s">
        <v>148</v>
      </c>
      <c r="O2"/>
      <c r="P2"/>
      <c r="T2" s="1294" t="s">
        <v>54</v>
      </c>
      <c r="U2" s="1295"/>
      <c r="V2" s="1295"/>
      <c r="W2" s="1296"/>
    </row>
    <row r="3" spans="2:26" ht="18.95" customHeight="1">
      <c r="B3" s="1303" t="s">
        <v>208</v>
      </c>
      <c r="C3" s="1304"/>
      <c r="D3" s="1304"/>
      <c r="E3" s="1304"/>
      <c r="F3" s="1305"/>
      <c r="J3" s="1384" t="s">
        <v>209</v>
      </c>
      <c r="K3" s="1385"/>
      <c r="L3" s="1386"/>
      <c r="N3" s="1105" t="s">
        <v>57</v>
      </c>
      <c r="O3"/>
      <c r="T3" s="1297" t="s">
        <v>210</v>
      </c>
      <c r="U3" s="1298"/>
      <c r="V3" s="1298"/>
      <c r="W3" s="1299"/>
    </row>
    <row r="4" spans="2:26" ht="18.95" customHeight="1">
      <c r="B4" s="1297"/>
      <c r="C4" s="1298"/>
      <c r="D4" s="1298"/>
      <c r="E4" s="1298"/>
      <c r="F4" s="1299"/>
      <c r="J4" s="1297"/>
      <c r="K4" s="1298"/>
      <c r="L4" s="1299"/>
      <c r="N4" s="1105" t="s">
        <v>211</v>
      </c>
      <c r="O4"/>
      <c r="T4" s="1297"/>
      <c r="U4" s="1298"/>
      <c r="V4" s="1298"/>
      <c r="W4" s="1299"/>
    </row>
    <row r="5" spans="2:26" ht="18.95" customHeight="1">
      <c r="B5" s="1297"/>
      <c r="C5" s="1298"/>
      <c r="D5" s="1298"/>
      <c r="E5" s="1298"/>
      <c r="F5" s="1299"/>
      <c r="J5" s="1297"/>
      <c r="K5" s="1298"/>
      <c r="L5" s="1299"/>
      <c r="N5" s="1105" t="s">
        <v>212</v>
      </c>
      <c r="O5"/>
      <c r="T5" s="1297"/>
      <c r="U5" s="1298"/>
      <c r="V5" s="1298"/>
      <c r="W5" s="1299"/>
    </row>
    <row r="6" spans="2:26" ht="18" customHeight="1" thickBot="1">
      <c r="B6" s="1300"/>
      <c r="C6" s="1301"/>
      <c r="D6" s="1301"/>
      <c r="E6" s="1301"/>
      <c r="F6" s="1302"/>
      <c r="J6" s="1300"/>
      <c r="K6" s="1301"/>
      <c r="L6" s="1302"/>
      <c r="N6" s="1106" t="s">
        <v>213</v>
      </c>
      <c r="O6"/>
      <c r="T6" s="1300"/>
      <c r="U6" s="1301"/>
      <c r="V6" s="1301"/>
      <c r="W6" s="1302"/>
    </row>
    <row r="7" spans="2:26" ht="32.1" customHeight="1">
      <c r="J7" s="556" t="s">
        <v>65</v>
      </c>
      <c r="K7" s="664" t="str">
        <f>INSTRUCTIONS!Q8</f>
        <v>Basic</v>
      </c>
      <c r="L7" s="1383" t="str">
        <f>IF(K7="Advanced", "ERROR: Ensure 'Basic' is selected in the INSTRUCTIONS tab if using this tab for principal inputs", " ")</f>
        <v xml:space="preserve"> </v>
      </c>
      <c r="M7" s="1383"/>
      <c r="N7" s="1383"/>
      <c r="O7" s="1383"/>
    </row>
    <row r="8" spans="2:26" ht="18.95" thickBot="1">
      <c r="I8" s="558"/>
      <c r="J8" s="780"/>
      <c r="K8" s="781"/>
      <c r="L8" s="558"/>
      <c r="M8" s="558"/>
      <c r="N8" s="558"/>
      <c r="O8" s="558"/>
      <c r="P8" s="558"/>
    </row>
    <row r="9" spans="2:26" ht="18.95" thickBot="1">
      <c r="B9" s="1166" t="s">
        <v>66</v>
      </c>
      <c r="C9" s="1210"/>
      <c r="D9" s="1210"/>
      <c r="E9" s="1210"/>
      <c r="F9" s="1211"/>
      <c r="I9" s="559"/>
      <c r="J9" s="1213" t="s">
        <v>67</v>
      </c>
      <c r="K9" s="1371"/>
      <c r="P9" s="559"/>
      <c r="T9" s="1353" t="s">
        <v>214</v>
      </c>
      <c r="U9" s="1354"/>
      <c r="V9" s="1355"/>
      <c r="Z9" s="558"/>
    </row>
    <row r="10" spans="2:26" ht="26.1" customHeight="1" thickBot="1">
      <c r="B10" s="1164" t="s">
        <v>68</v>
      </c>
      <c r="C10" s="1206"/>
      <c r="D10" s="1207"/>
      <c r="E10" s="1208"/>
      <c r="F10" s="1209"/>
      <c r="J10" s="1215" t="s">
        <v>69</v>
      </c>
      <c r="K10" s="1367"/>
      <c r="P10" s="559"/>
      <c r="T10" s="1220" t="s">
        <v>75</v>
      </c>
      <c r="U10" s="1356"/>
      <c r="V10" s="1221"/>
      <c r="Z10" s="559"/>
    </row>
    <row r="11" spans="2:26" ht="15.6" customHeight="1" thickBot="1">
      <c r="B11" s="1292" t="s">
        <v>71</v>
      </c>
      <c r="C11" s="1293"/>
      <c r="D11" s="1200" t="s">
        <v>72</v>
      </c>
      <c r="E11" s="1293"/>
      <c r="F11" s="782" t="s">
        <v>73</v>
      </c>
      <c r="G11" s="558"/>
      <c r="H11" s="555"/>
      <c r="J11" s="783" t="s">
        <v>215</v>
      </c>
      <c r="K11" s="784"/>
      <c r="P11" s="608"/>
      <c r="T11" s="581"/>
      <c r="U11" s="598" t="s">
        <v>216</v>
      </c>
      <c r="V11" s="599" t="s">
        <v>217</v>
      </c>
    </row>
    <row r="12" spans="2:26" s="558" customFormat="1" ht="18.95" thickBot="1">
      <c r="B12" s="1349">
        <f>IFERROR(IF(INSTRUCTIONS!$Q$8="Basic", 'Tradeoff Levers'!C8, ""), "")</f>
        <v>0</v>
      </c>
      <c r="C12" s="1380"/>
      <c r="D12" s="1381">
        <f>IFERROR(IF(INSTRUCTIONS!$Q$8="Basic",'Tradeoff Levers'!C9,""), "")</f>
        <v>0</v>
      </c>
      <c r="E12" s="1382"/>
      <c r="F12" s="1009">
        <f>IFERROR(IF(INSTRUCTIONS!$Q$8="Basic",B12-D12, ""), "")</f>
        <v>0</v>
      </c>
      <c r="H12" s="555"/>
      <c r="I12" s="545"/>
      <c r="J12" s="785" t="s">
        <v>218</v>
      </c>
      <c r="K12" s="786"/>
      <c r="L12" s="545"/>
      <c r="P12" s="787"/>
      <c r="Q12" s="545"/>
      <c r="R12" s="555"/>
      <c r="T12" s="788" t="s">
        <v>219</v>
      </c>
      <c r="U12" s="618"/>
      <c r="V12" s="652"/>
      <c r="W12" s="545"/>
      <c r="X12" s="545"/>
      <c r="Y12" s="547"/>
      <c r="Z12" s="545"/>
    </row>
    <row r="13" spans="2:26" s="558" customFormat="1" ht="19.5" customHeight="1" thickBot="1">
      <c r="B13" s="639"/>
      <c r="C13" s="639"/>
      <c r="D13" s="685"/>
      <c r="E13" s="685"/>
      <c r="F13" s="686"/>
      <c r="G13" s="559"/>
      <c r="H13" s="560"/>
      <c r="I13" s="545"/>
      <c r="J13" s="556"/>
      <c r="K13" s="631"/>
      <c r="L13" s="545"/>
      <c r="P13" s="787"/>
      <c r="Q13" s="545"/>
      <c r="R13" s="555"/>
      <c r="T13" s="788" t="s">
        <v>220</v>
      </c>
      <c r="U13" s="590"/>
      <c r="V13" s="591"/>
      <c r="W13" s="545"/>
      <c r="X13" s="545"/>
      <c r="Y13" s="547"/>
      <c r="Z13" s="545"/>
    </row>
    <row r="14" spans="2:26" s="559" customFormat="1" ht="29.45" thickBot="1">
      <c r="B14" s="1334" t="s">
        <v>221</v>
      </c>
      <c r="C14" s="1335"/>
      <c r="D14" s="1335"/>
      <c r="E14" s="1335"/>
      <c r="F14" s="1335"/>
      <c r="G14" s="545"/>
      <c r="H14" s="547"/>
      <c r="I14" s="545"/>
      <c r="J14" s="1202" t="s">
        <v>222</v>
      </c>
      <c r="K14" s="1368"/>
      <c r="L14" s="1368"/>
      <c r="M14" s="1203"/>
      <c r="N14" s="545"/>
      <c r="O14" s="545"/>
      <c r="P14" s="787"/>
      <c r="Q14" s="545"/>
      <c r="R14" s="560"/>
      <c r="T14" s="788" t="s">
        <v>223</v>
      </c>
      <c r="U14" s="590"/>
      <c r="V14" s="591"/>
      <c r="W14" s="545"/>
      <c r="X14" s="545"/>
      <c r="Y14" s="547"/>
      <c r="Z14" s="545"/>
    </row>
    <row r="15" spans="2:26" ht="21" customHeight="1" thickBot="1">
      <c r="B15" s="1336" t="s">
        <v>81</v>
      </c>
      <c r="C15" s="1337"/>
      <c r="D15" s="1337"/>
      <c r="E15" s="1337"/>
      <c r="F15" s="1338"/>
      <c r="J15" s="1140" t="s">
        <v>224</v>
      </c>
      <c r="K15" s="1365"/>
      <c r="L15" s="1365"/>
      <c r="M15" s="1366"/>
      <c r="P15" s="787"/>
      <c r="T15" s="788" t="s">
        <v>83</v>
      </c>
      <c r="U15" s="618"/>
      <c r="V15" s="567"/>
    </row>
    <row r="16" spans="2:26" ht="31.5" customHeight="1" thickBot="1">
      <c r="B16" s="576" t="s">
        <v>84</v>
      </c>
      <c r="C16" s="1199" t="s">
        <v>85</v>
      </c>
      <c r="D16" s="1341"/>
      <c r="E16" s="1200" t="s">
        <v>86</v>
      </c>
      <c r="F16" s="1293"/>
      <c r="J16" s="1069"/>
      <c r="K16" s="1070" t="s">
        <v>225</v>
      </c>
      <c r="L16" s="1071" t="s">
        <v>226</v>
      </c>
      <c r="M16" s="1072" t="s">
        <v>120</v>
      </c>
      <c r="P16" s="787"/>
      <c r="T16" s="789" t="s">
        <v>88</v>
      </c>
      <c r="U16" s="790"/>
      <c r="V16" s="575"/>
    </row>
    <row r="17" spans="2:16" ht="27.6" customHeight="1">
      <c r="B17" s="691" t="s">
        <v>227</v>
      </c>
      <c r="C17" s="1135">
        <f>IF(INSTRUCTIONS!$Q$8="Basic",'Basic Principal Analysis'!N5+'Basic Principal Analysis'!N8, "")</f>
        <v>0</v>
      </c>
      <c r="D17" s="1135"/>
      <c r="E17" s="1135">
        <f>IF(INSTRUCTIONS!$Q$8="Basic",'Basic Principal Analysis'!O5+'Basic Principal Analysis'!O8, "")</f>
        <v>0</v>
      </c>
      <c r="F17" s="1135"/>
      <c r="J17" s="651" t="s">
        <v>216</v>
      </c>
      <c r="K17" s="791"/>
      <c r="L17" s="736"/>
      <c r="M17" s="1369"/>
      <c r="P17" s="787"/>
    </row>
    <row r="18" spans="2:16" ht="18.600000000000001" customHeight="1" thickBot="1">
      <c r="B18" s="691" t="s">
        <v>97</v>
      </c>
      <c r="C18" s="1135">
        <f>IF(INSTRUCTIONS!$Q$8="Basic",'Basic Principal Analysis'!$N$66, "")</f>
        <v>0</v>
      </c>
      <c r="D18" s="1135"/>
      <c r="E18" s="1135">
        <f>IF(INSTRUCTIONS!$Q$8="Basic",'Basic Principal Analysis'!$O$66,"")</f>
        <v>0</v>
      </c>
      <c r="F18" s="1135"/>
      <c r="J18" s="679" t="s">
        <v>217</v>
      </c>
      <c r="K18" s="792"/>
      <c r="L18" s="637"/>
      <c r="M18" s="1370"/>
      <c r="N18" s="793"/>
      <c r="O18" s="793"/>
      <c r="P18" s="793"/>
    </row>
    <row r="19" spans="2:16" ht="18.600000000000001" customHeight="1" thickBot="1">
      <c r="B19" s="691" t="s">
        <v>101</v>
      </c>
      <c r="C19" s="1135">
        <f>IF(INSTRUCTIONS!$Q$8="Basic",'Basic Principal Analysis'!$N$55, "")</f>
        <v>0</v>
      </c>
      <c r="D19" s="1135"/>
      <c r="E19" s="1135">
        <f>IF(INSTRUCTIONS!$Q$8="Basic",'Basic Principal Analysis'!$O$55, "")</f>
        <v>0</v>
      </c>
      <c r="F19" s="1135"/>
      <c r="J19" s="545"/>
      <c r="K19" s="545"/>
    </row>
    <row r="20" spans="2:16" ht="18.95" customHeight="1">
      <c r="B20" s="691" t="s">
        <v>103</v>
      </c>
      <c r="C20" s="1135">
        <f>IF(INSTRUCTIONS!$Q$8="Basic",'Basic Principal Analysis'!$N$73, "")</f>
        <v>0</v>
      </c>
      <c r="D20" s="1135"/>
      <c r="E20" s="1135">
        <f>IF(INSTRUCTIONS!$Q$8="Basic",'Basic Principal Analysis'!$O$73, "")</f>
        <v>0</v>
      </c>
      <c r="F20" s="1135"/>
      <c r="J20" s="1148" t="s">
        <v>212</v>
      </c>
      <c r="K20" s="1149"/>
      <c r="L20" s="1149"/>
      <c r="M20" s="1149"/>
      <c r="N20" s="1149"/>
      <c r="O20" s="1149"/>
      <c r="P20" s="1150"/>
    </row>
    <row r="21" spans="2:16" ht="27.95" customHeight="1" thickBot="1">
      <c r="B21" s="804" t="s">
        <v>105</v>
      </c>
      <c r="C21" s="1133">
        <f>IF(INSTRUCTIONS!$Q$8="Basic",'Basic Principal Analysis'!$N$82, "")</f>
        <v>0</v>
      </c>
      <c r="D21" s="1133"/>
      <c r="E21" s="1133">
        <f>IF(INSTRUCTIONS!$Q$8="Basic",'Basic Principal Analysis'!$O$82, "")</f>
        <v>0</v>
      </c>
      <c r="F21" s="1133"/>
      <c r="J21" s="1140" t="s">
        <v>228</v>
      </c>
      <c r="K21" s="1365"/>
      <c r="L21" s="1365"/>
      <c r="M21" s="1365"/>
      <c r="N21" s="1365"/>
      <c r="O21" s="1365"/>
      <c r="P21" s="1366"/>
    </row>
    <row r="22" spans="2:16" ht="27.6" customHeight="1" thickBot="1">
      <c r="B22" s="1185" t="s">
        <v>229</v>
      </c>
      <c r="C22" s="1186"/>
      <c r="D22" s="1186"/>
      <c r="E22" s="1378">
        <f>IF(INSTRUCTIONS!$Q$8="Basic", E21-C21, "")</f>
        <v>0</v>
      </c>
      <c r="F22" s="1379"/>
      <c r="J22" s="1357" t="s">
        <v>230</v>
      </c>
      <c r="K22" s="1359" t="s">
        <v>215</v>
      </c>
      <c r="L22" s="1360"/>
      <c r="M22" s="1361"/>
      <c r="N22" s="1362" t="s">
        <v>218</v>
      </c>
      <c r="O22" s="1363"/>
      <c r="P22" s="1364"/>
    </row>
    <row r="23" spans="2:16" ht="15" thickBot="1">
      <c r="B23" s="597"/>
      <c r="C23" s="639"/>
      <c r="D23" s="639"/>
      <c r="E23" s="639"/>
      <c r="F23" s="639"/>
      <c r="J23" s="1358"/>
      <c r="K23" s="794" t="s">
        <v>82</v>
      </c>
      <c r="L23" s="795" t="s">
        <v>99</v>
      </c>
      <c r="M23" s="796" t="s">
        <v>100</v>
      </c>
      <c r="N23" s="797" t="s">
        <v>82</v>
      </c>
      <c r="O23" s="798" t="s">
        <v>99</v>
      </c>
      <c r="P23" s="799" t="s">
        <v>100</v>
      </c>
    </row>
    <row r="24" spans="2:16" ht="15" thickBot="1">
      <c r="B24" s="1334" t="s">
        <v>108</v>
      </c>
      <c r="C24" s="1335"/>
      <c r="D24" s="1335"/>
      <c r="E24" s="1335"/>
      <c r="F24" s="1335"/>
      <c r="J24" s="800"/>
      <c r="K24" s="745"/>
      <c r="L24" s="1077"/>
      <c r="M24" s="1078"/>
      <c r="N24" s="745"/>
      <c r="O24" s="1079"/>
      <c r="P24" s="1080"/>
    </row>
    <row r="25" spans="2:16">
      <c r="B25" s="1336" t="s">
        <v>110</v>
      </c>
      <c r="C25" s="1337"/>
      <c r="D25" s="1337"/>
      <c r="E25" s="1337"/>
      <c r="F25" s="1338"/>
      <c r="J25" s="801"/>
      <c r="K25" s="745"/>
      <c r="L25" s="590"/>
      <c r="M25" s="591"/>
      <c r="N25" s="745"/>
      <c r="O25" s="590"/>
      <c r="P25" s="591"/>
    </row>
    <row r="26" spans="2:16">
      <c r="B26" s="802" t="s">
        <v>112</v>
      </c>
      <c r="C26" s="1244" t="s">
        <v>85</v>
      </c>
      <c r="D26" s="1348"/>
      <c r="E26" s="1204" t="s">
        <v>86</v>
      </c>
      <c r="F26" s="1205"/>
      <c r="J26" s="803"/>
      <c r="K26" s="745"/>
      <c r="L26" s="590"/>
      <c r="M26" s="591"/>
      <c r="N26" s="745"/>
      <c r="O26" s="590"/>
      <c r="P26" s="591"/>
    </row>
    <row r="27" spans="2:16">
      <c r="B27" s="804" t="s">
        <v>231</v>
      </c>
      <c r="C27" s="1392">
        <f>IFERROR(IF(INSTRUCTIONS!$Q$8="Basic",'Basic Principal Analysis'!$N$78, ""), 0)</f>
        <v>0</v>
      </c>
      <c r="D27" s="1393"/>
      <c r="E27" s="1390">
        <f>IFERROR(IF(INSTRUCTIONS!$Q$8="Basic",'Basic Principal Analysis'!$O$78, ""), 0)</f>
        <v>0</v>
      </c>
      <c r="F27" s="1391"/>
      <c r="J27" s="805"/>
      <c r="K27" s="745"/>
      <c r="L27" s="590"/>
      <c r="M27" s="591"/>
      <c r="N27" s="745"/>
      <c r="O27" s="590"/>
      <c r="P27" s="591"/>
    </row>
    <row r="28" spans="2:16">
      <c r="B28" s="806" t="s">
        <v>232</v>
      </c>
      <c r="C28" s="1387">
        <f>IFERROR(IF(INSTRUCTIONS!$Q$8="Basic",'Basic Principal Analysis'!$N$81, ""), 0)</f>
        <v>0</v>
      </c>
      <c r="D28" s="1388"/>
      <c r="E28" s="1389">
        <f>IFERROR(IF(INSTRUCTIONS!$Q$8="Basic",'Basic Principal Analysis'!$O$81, ""), 0)</f>
        <v>0</v>
      </c>
      <c r="F28" s="1388"/>
      <c r="J28" s="807"/>
      <c r="K28" s="621"/>
      <c r="L28" s="747"/>
      <c r="M28" s="748"/>
      <c r="N28" s="621"/>
      <c r="O28" s="747"/>
      <c r="P28" s="748"/>
    </row>
    <row r="29" spans="2:16">
      <c r="B29" s="802" t="s">
        <v>116</v>
      </c>
      <c r="C29" s="603" t="s">
        <v>82</v>
      </c>
      <c r="D29" s="712" t="s">
        <v>117</v>
      </c>
      <c r="E29" s="603" t="s">
        <v>82</v>
      </c>
      <c r="F29" s="712" t="s">
        <v>117</v>
      </c>
      <c r="J29" s="808"/>
      <c r="K29" s="809"/>
      <c r="L29" s="590"/>
      <c r="M29" s="647"/>
      <c r="N29" s="810"/>
      <c r="O29" s="811"/>
      <c r="P29" s="601"/>
    </row>
    <row r="30" spans="2:16">
      <c r="B30" s="1376" t="s">
        <v>215</v>
      </c>
      <c r="C30" s="1376"/>
      <c r="D30" s="1376"/>
      <c r="E30" s="1376"/>
      <c r="F30" s="1377"/>
      <c r="J30" s="812"/>
      <c r="K30" s="809"/>
      <c r="L30" s="811"/>
      <c r="M30" s="647"/>
      <c r="N30" s="813"/>
      <c r="O30" s="814"/>
      <c r="P30" s="601"/>
    </row>
    <row r="31" spans="2:16">
      <c r="B31" s="691" t="s">
        <v>119</v>
      </c>
      <c r="C31" s="830">
        <f>IF(INSTRUCTIONS!$Q$8="Basic",$K$40, "")</f>
        <v>0</v>
      </c>
      <c r="D31" s="831">
        <f>IF(INSTRUCTIONS!$Q$8="Basic",L40, "")</f>
        <v>0</v>
      </c>
      <c r="E31" s="832">
        <f>IF(INSTRUCTIONS!$Q$8="Basic",$M$40, "")</f>
        <v>0</v>
      </c>
      <c r="F31" s="831">
        <f>IF(INSTRUCTIONS!$Q$8="Basic",$N$40, "")</f>
        <v>0</v>
      </c>
      <c r="J31" s="812"/>
      <c r="K31" s="809"/>
      <c r="L31" s="811"/>
      <c r="M31" s="601"/>
      <c r="N31" s="815"/>
      <c r="O31" s="811"/>
      <c r="P31" s="601"/>
    </row>
    <row r="32" spans="2:16">
      <c r="B32" s="691" t="s">
        <v>101</v>
      </c>
      <c r="C32" s="833">
        <f>IFERROR(IF(INSTRUCTIONS!$Q$8="Basic",((SUMIF(L25:L33,"&gt;0",K25:K33)*K11)/K11), ""), 0)</f>
        <v>0</v>
      </c>
      <c r="D32" s="831">
        <f>IFERROR(IF(INSTRUCTIONS!$Q$8="Basic",(AVERAGEIF(L25:L33,"&gt;0",L25:L33)), ""), 0)</f>
        <v>0</v>
      </c>
      <c r="E32" s="834">
        <f>IFERROR(IF(INSTRUCTIONS!$Q$8="Basic",((SUMIF(M25:M33,"&gt;0",K25:K33)*K11)/K11), ""), 0)</f>
        <v>0</v>
      </c>
      <c r="F32" s="831">
        <f>IFERROR(IF(INSTRUCTIONS!$Q$8="Basic",( AVERAGEIF(M25:M33, "&gt;0",M25:M33)), ""), 0)</f>
        <v>0</v>
      </c>
      <c r="J32" s="816"/>
      <c r="K32" s="817"/>
      <c r="L32" s="811"/>
      <c r="M32" s="601"/>
      <c r="N32" s="815"/>
      <c r="O32" s="811"/>
      <c r="P32" s="601"/>
    </row>
    <row r="33" spans="2:16" ht="15" thickBot="1">
      <c r="B33" s="1376" t="s">
        <v>218</v>
      </c>
      <c r="C33" s="1376"/>
      <c r="D33" s="1376"/>
      <c r="E33" s="1376"/>
      <c r="F33" s="1377"/>
      <c r="J33" s="818"/>
      <c r="K33" s="819"/>
      <c r="L33" s="750"/>
      <c r="M33" s="820"/>
      <c r="N33" s="821"/>
      <c r="O33" s="750"/>
      <c r="P33" s="820"/>
    </row>
    <row r="34" spans="2:16">
      <c r="B34" s="691" t="s">
        <v>119</v>
      </c>
      <c r="C34" s="830">
        <f>IF(INSTRUCTIONS!$Q$8="Basic",$K$41, "")</f>
        <v>0</v>
      </c>
      <c r="D34" s="831">
        <f>IF(INSTRUCTIONS!$Q$8="Basic",L41, "")</f>
        <v>0</v>
      </c>
      <c r="E34" s="832">
        <f>IF(INSTRUCTIONS!$Q$8="Basic",$M$41, "")</f>
        <v>0</v>
      </c>
      <c r="F34" s="831">
        <f>IF(INSTRUCTIONS!$Q$8="Basic",$N$41, "")</f>
        <v>0</v>
      </c>
      <c r="J34" s="545"/>
      <c r="K34" s="1068" t="str">
        <f>IF(SUM(K24:K33)&lt;&gt;1,"Total percentage must equal 100%.","")</f>
        <v>Total percentage must equal 100%.</v>
      </c>
      <c r="N34" s="1068" t="str">
        <f>IF(SUM(N24:N33)&lt;&gt;1,"Total percentage must equal 100%.","")</f>
        <v>Total percentage must equal 100%.</v>
      </c>
    </row>
    <row r="35" spans="2:16" ht="15" thickBot="1">
      <c r="B35" s="691" t="s">
        <v>101</v>
      </c>
      <c r="C35" s="833">
        <f>IFERROR(IF(INSTRUCTIONS!$Q$8="Basic",((SUMIF(O25:O33,"&gt;0",N25:N33)*K12)/K12), ""), 0)</f>
        <v>0</v>
      </c>
      <c r="D35" s="831">
        <f>IFERROR(IF(INSTRUCTIONS!$Q$8="Basic",(AVERAGEIF(O25:O33,"&gt;0",O25:O33)), ""), 0)</f>
        <v>0</v>
      </c>
      <c r="E35" s="834">
        <f>IFERROR(IF(INSTRUCTIONS!$Q$8="Basic",((SUMIF(P25:P33,"&gt;0",N25:N33)*K12)/K12), ""), 0)</f>
        <v>0</v>
      </c>
      <c r="F35" s="831">
        <f>IFERROR(IF(INSTRUCTIONS!$Q$8="Basic",( AVERAGEIF(P25:P33, "&gt;0",P25:P33)), ""), 0)</f>
        <v>0</v>
      </c>
      <c r="J35" s="545"/>
      <c r="K35" s="1068"/>
      <c r="N35" s="1068"/>
      <c r="O35" s="822"/>
    </row>
    <row r="36" spans="2:16" ht="14.1" customHeight="1">
      <c r="J36" s="1168" t="s">
        <v>233</v>
      </c>
      <c r="K36" s="1374"/>
      <c r="L36" s="1374"/>
      <c r="M36" s="1374"/>
      <c r="N36" s="1375"/>
      <c r="O36" s="822"/>
    </row>
    <row r="37" spans="2:16" ht="16.5" customHeight="1">
      <c r="B37" s="1249" t="s">
        <v>126</v>
      </c>
      <c r="C37" s="1249"/>
      <c r="D37" s="1249"/>
      <c r="E37" s="1249"/>
      <c r="J37" s="1145" t="s">
        <v>234</v>
      </c>
      <c r="K37" s="1146"/>
      <c r="L37" s="1146"/>
      <c r="M37" s="1146"/>
      <c r="N37" s="1147"/>
      <c r="O37" s="822"/>
    </row>
    <row r="38" spans="2:16" ht="16.5" customHeight="1">
      <c r="B38" s="1235" t="s">
        <v>128</v>
      </c>
      <c r="C38" s="1236"/>
      <c r="D38" s="1236"/>
      <c r="E38" s="1237"/>
      <c r="F38"/>
      <c r="J38" s="823"/>
      <c r="K38" s="1372" t="s">
        <v>85</v>
      </c>
      <c r="L38" s="1372"/>
      <c r="M38" s="1372" t="s">
        <v>86</v>
      </c>
      <c r="N38" s="1373"/>
      <c r="O38" s="822"/>
    </row>
    <row r="39" spans="2:16" ht="18.95" customHeight="1">
      <c r="B39" s="1238"/>
      <c r="C39" s="1239"/>
      <c r="D39" s="1239"/>
      <c r="E39" s="1240"/>
      <c r="J39" s="581"/>
      <c r="K39" s="634" t="s">
        <v>82</v>
      </c>
      <c r="L39" s="824" t="s">
        <v>139</v>
      </c>
      <c r="M39" s="798" t="s">
        <v>82</v>
      </c>
      <c r="N39" s="643" t="s">
        <v>139</v>
      </c>
      <c r="O39" s="822"/>
    </row>
    <row r="40" spans="2:16" ht="17.100000000000001" customHeight="1">
      <c r="B40" s="1238"/>
      <c r="C40" s="1239"/>
      <c r="D40" s="1239"/>
      <c r="E40" s="1240"/>
      <c r="J40" s="651" t="s">
        <v>215</v>
      </c>
      <c r="K40" s="635"/>
      <c r="L40" s="736"/>
      <c r="M40" s="635"/>
      <c r="N40" s="591"/>
    </row>
    <row r="41" spans="2:16" ht="25.5" customHeight="1" thickBot="1">
      <c r="B41" s="1241"/>
      <c r="C41" s="1242"/>
      <c r="D41" s="1242"/>
      <c r="E41" s="1243"/>
      <c r="J41" s="627" t="s">
        <v>218</v>
      </c>
      <c r="K41" s="825"/>
      <c r="L41" s="637"/>
      <c r="M41" s="825"/>
      <c r="N41" s="595"/>
    </row>
    <row r="42" spans="2:16">
      <c r="B42" s="1250"/>
      <c r="C42" s="1251"/>
      <c r="D42" s="612" t="s">
        <v>85</v>
      </c>
      <c r="E42" s="612" t="s">
        <v>86</v>
      </c>
      <c r="J42" s="565"/>
      <c r="K42" s="545"/>
    </row>
    <row r="43" spans="2:16">
      <c r="B43" s="1246" t="s">
        <v>132</v>
      </c>
      <c r="C43" s="1246"/>
      <c r="D43" s="835">
        <f>IF(INSTRUCTIONS!$Q$8="Basic",'Basic Principal Analysis'!$S$120, "")</f>
        <v>0</v>
      </c>
      <c r="E43" s="835">
        <f>IF(INSTRUCTIONS!$Q$8="Basic",'Basic Principal Analysis'!$S$102, "")</f>
        <v>0</v>
      </c>
    </row>
    <row r="44" spans="2:16">
      <c r="B44" s="1234" t="s">
        <v>134</v>
      </c>
      <c r="C44" s="1234"/>
      <c r="D44" s="1233">
        <f>IF(INSTRUCTIONS!$Q$8="Basic", E43-D43, "")</f>
        <v>0</v>
      </c>
      <c r="E44" s="1233"/>
    </row>
    <row r="45" spans="2:16" ht="14.45" customHeight="1"/>
    <row r="52" spans="10:16" ht="29.1" customHeight="1"/>
    <row r="53" spans="10:16" ht="29.1" customHeight="1"/>
    <row r="54" spans="10:16" ht="29.1" customHeight="1"/>
    <row r="57" spans="10:16">
      <c r="J57" s="545"/>
      <c r="K57" s="596"/>
      <c r="N57" s="596"/>
    </row>
    <row r="58" spans="10:16">
      <c r="J58" s="545"/>
      <c r="K58" s="545"/>
    </row>
    <row r="59" spans="10:16">
      <c r="J59" s="545"/>
      <c r="K59" s="545"/>
    </row>
    <row r="60" spans="10:16">
      <c r="J60" s="545"/>
      <c r="K60" s="545"/>
    </row>
    <row r="61" spans="10:16">
      <c r="J61" s="545"/>
      <c r="K61" s="545"/>
    </row>
    <row r="62" spans="10:16">
      <c r="J62" s="545"/>
      <c r="K62" s="545"/>
    </row>
    <row r="63" spans="10:16">
      <c r="J63" s="545"/>
      <c r="K63" s="545"/>
    </row>
    <row r="64" spans="10:16">
      <c r="J64" s="545"/>
      <c r="K64" s="545"/>
      <c r="P64" s="826"/>
    </row>
    <row r="65" spans="14:16">
      <c r="P65" s="826"/>
    </row>
    <row r="66" spans="14:16">
      <c r="P66" s="827"/>
    </row>
    <row r="67" spans="14:16">
      <c r="P67" s="827"/>
    </row>
    <row r="69" spans="14:16">
      <c r="P69" s="549"/>
    </row>
    <row r="70" spans="14:16">
      <c r="P70" s="828"/>
    </row>
    <row r="71" spans="14:16">
      <c r="P71" s="827"/>
    </row>
    <row r="73" spans="14:16">
      <c r="P73" s="793"/>
    </row>
    <row r="76" spans="14:16">
      <c r="N76" s="632"/>
    </row>
    <row r="77" spans="14:16">
      <c r="N77" s="632"/>
    </row>
    <row r="78" spans="14:16">
      <c r="N78" s="654"/>
    </row>
  </sheetData>
  <sheetProtection algorithmName="SHA-512" hashValue="XZNN/jWUPLR83h42GCKma5RY43TDdJh93rxgYV2XijZKqziQOqnoRNn11xwgXo3Yshut5en0Z16yUVr5sJk7Zg==" saltValue="LaFgIQwQSXYrmWFPIUaJjw==" spinCount="100000" sheet="1" objects="1" scenarios="1"/>
  <mergeCells count="60">
    <mergeCell ref="B44:C44"/>
    <mergeCell ref="D44:E44"/>
    <mergeCell ref="B38:E41"/>
    <mergeCell ref="B42:C42"/>
    <mergeCell ref="B24:F24"/>
    <mergeCell ref="B25:F25"/>
    <mergeCell ref="B43:C43"/>
    <mergeCell ref="B37:E37"/>
    <mergeCell ref="C28:D28"/>
    <mergeCell ref="E28:F28"/>
    <mergeCell ref="E27:F27"/>
    <mergeCell ref="C27:D27"/>
    <mergeCell ref="T2:W2"/>
    <mergeCell ref="T3:W6"/>
    <mergeCell ref="C17:D17"/>
    <mergeCell ref="E17:F17"/>
    <mergeCell ref="B9:F9"/>
    <mergeCell ref="B10:F10"/>
    <mergeCell ref="B11:C11"/>
    <mergeCell ref="B12:C12"/>
    <mergeCell ref="D12:E12"/>
    <mergeCell ref="C16:D16"/>
    <mergeCell ref="E16:F16"/>
    <mergeCell ref="L7:O7"/>
    <mergeCell ref="J3:L6"/>
    <mergeCell ref="D11:E11"/>
    <mergeCell ref="J15:M15"/>
    <mergeCell ref="B2:F2"/>
    <mergeCell ref="C20:D20"/>
    <mergeCell ref="E20:F20"/>
    <mergeCell ref="C26:D26"/>
    <mergeCell ref="B3:F6"/>
    <mergeCell ref="B14:F14"/>
    <mergeCell ref="B15:F15"/>
    <mergeCell ref="C18:D18"/>
    <mergeCell ref="E18:F18"/>
    <mergeCell ref="C19:D19"/>
    <mergeCell ref="E19:F19"/>
    <mergeCell ref="C21:D21"/>
    <mergeCell ref="E21:F21"/>
    <mergeCell ref="E22:F22"/>
    <mergeCell ref="B22:D22"/>
    <mergeCell ref="E26:F26"/>
    <mergeCell ref="K38:L38"/>
    <mergeCell ref="M38:N38"/>
    <mergeCell ref="J36:N36"/>
    <mergeCell ref="J37:N37"/>
    <mergeCell ref="B30:F30"/>
    <mergeCell ref="B33:F33"/>
    <mergeCell ref="T9:V9"/>
    <mergeCell ref="T10:V10"/>
    <mergeCell ref="J22:J23"/>
    <mergeCell ref="K22:M22"/>
    <mergeCell ref="N22:P22"/>
    <mergeCell ref="J20:P20"/>
    <mergeCell ref="J21:P21"/>
    <mergeCell ref="J10:K10"/>
    <mergeCell ref="J14:M14"/>
    <mergeCell ref="M17:M18"/>
    <mergeCell ref="J9:K9"/>
  </mergeCells>
  <conditionalFormatting sqref="K7">
    <cfRule type="cellIs" dxfId="32" priority="5" operator="equal">
      <formula>"Advanced"</formula>
    </cfRule>
    <cfRule type="cellIs" dxfId="31" priority="6" operator="equal">
      <formula>"Basic"</formula>
    </cfRule>
    <cfRule type="cellIs" dxfId="30" priority="7" operator="equal">
      <formula>"""Basic"""</formula>
    </cfRule>
  </conditionalFormatting>
  <conditionalFormatting sqref="L7">
    <cfRule type="cellIs" dxfId="29" priority="2" operator="equal">
      <formula>"ERROR: Ensure 'Basic' is selected in the INSTRUCTIONS tab if using this tab for teacher inputs"</formula>
    </cfRule>
    <cfRule type="cellIs" dxfId="28" priority="3" operator="equal">
      <formula>"ERROR: Ensure 'Basic' is selected if using this tab for teacher inputs"</formula>
    </cfRule>
    <cfRule type="cellIs" dxfId="27" priority="4" operator="equal">
      <formula>"Ensure 'Basic' is selected if using this tab for teacher inputs"</formula>
    </cfRule>
  </conditionalFormatting>
  <conditionalFormatting sqref="L7:O7">
    <cfRule type="cellIs" dxfId="26" priority="1" operator="equal">
      <formula>"ERROR: Ensure 'Basic' is selected in the INSTRUCTIONS tab if using this tab for principal inputs"</formula>
    </cfRule>
  </conditionalFormatting>
  <conditionalFormatting sqref="N78">
    <cfRule type="containsText" dxfId="25" priority="8" operator="containsText" text="100">
      <formula>NOT(ISERROR(SEARCH("100",N78)))</formula>
    </cfRule>
    <cfRule type="cellIs" dxfId="24" priority="9" operator="equal">
      <formula>"""Total percentage must equal 100%."""</formula>
    </cfRule>
    <cfRule type="containsText" dxfId="23" priority="10" operator="containsText" text="&quot;Total percentage must equal 100%.&quot;">
      <formula>NOT(ISERROR(SEARCH("""Total percentage must equal 100%.""",N78)))</formula>
    </cfRule>
  </conditionalFormatting>
  <dataValidations count="7">
    <dataValidation allowBlank="1" showInputMessage="1" showErrorMessage="1" prompt="This percentage should include all benefits costs (e.g. healthcare, retirement, FICA). In the Basic tabs, the same benefits rate is applied to all forms of compensation. To enter separate benefits rates for salaries and stipends, use the Advanced tabs." sqref="M17:M18" xr:uid="{83E3CDFD-93DC-4489-BBD2-1CAFEE743D7D}"/>
    <dataValidation allowBlank="1" showInputMessage="1" showErrorMessage="1" prompt="Increasing average salary in your new compensation system represents an across-the board salary increase." sqref="L17" xr:uid="{2FCA54C1-8EA7-43DA-9DE8-7B38B6166871}"/>
    <dataValidation allowBlank="1" showInputMessage="1" showErrorMessage="1" prompt="Categories must be entered from least effective to most effective. This cell should contain the category describing your least school leaders." sqref="J24" xr:uid="{1F13D135-1BCC-48E5-8F34-F3D6AAA50608}"/>
    <dataValidation allowBlank="1" showInputMessage="1" showErrorMessage="1" prompt="Enter the percent you expect all principal salaries to increase each year. This could be due to inflation-based salary adjustments or board-approved pay increases, for example." sqref="U15" xr:uid="{FE8B3E49-D599-451A-B1B3-A5ABE42F0060}"/>
    <dataValidation allowBlank="1" showInputMessage="1" showErrorMessage="1" prompt="Enter the percent you expect all assistant principal salaries to increase each year. This could be due to inflation-based salary adjustments or board-approved pay increases, for example." sqref="V15" xr:uid="{F8A6FD25-DF03-41BA-A786-A90A58D8C9D9}"/>
    <dataValidation allowBlank="1" showInputMessage="1" showErrorMessage="1" prompt="Enter the percent increase in benefits costs for principals you anticipate each year." sqref="U16" xr:uid="{3919E525-C71D-4016-83CE-8AADC722758B}"/>
    <dataValidation allowBlank="1" showInputMessage="1" showErrorMessage="1" prompt="Enter the percent increase in benefits costs for assistant principals you anticipate each year." sqref="V16" xr:uid="{BBE6BF60-68BF-4345-8E14-9C8B78AF7D4E}"/>
  </dataValidations>
  <hyperlinks>
    <hyperlink ref="N3" location="'Basic - Principals and APs'!J9" display="1. FTE" xr:uid="{4F6BC25D-3DBE-455D-8454-444B14289E47}"/>
    <hyperlink ref="N4" location="'Basic - Principals and APs'!J14" display="2. Salary" xr:uid="{1A71C686-FB46-41B4-B2C7-DBAD341E7A69}"/>
    <hyperlink ref="N5" location="'Basic - Principals and APs'!J20" display="3. Effectiveness" xr:uid="{7C95E1EC-DE51-4C63-99F8-1E569BF4FC84}"/>
    <hyperlink ref="N6" location="'Basic - Principals and APs'!J35" display="4. Critical Needs Areas" xr:uid="{E5B238A8-FD33-4065-BF7E-F59ACD9EF633}"/>
  </hyperlinks>
  <pageMargins left="0.7" right="0.7" top="0.75" bottom="0.75" header="0.3" footer="0.3"/>
  <pageSetup orientation="portrait"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0C29BE-5FEF-4C44-9F65-CCC4332F1D33}">
  <sheetPr codeName="Sheet6">
    <tabColor theme="5" tint="0.39997558519241921"/>
  </sheetPr>
  <dimension ref="B1:W171"/>
  <sheetViews>
    <sheetView showGridLines="0" zoomScaleNormal="100" workbookViewId="0">
      <pane xSplit="7" ySplit="7" topLeftCell="H8" activePane="bottomRight" state="frozen"/>
      <selection pane="bottomRight" activeCell="P16" sqref="P16"/>
      <selection pane="bottomLeft" activeCell="A6" sqref="A6"/>
      <selection pane="topRight" activeCell="H1" sqref="H1"/>
    </sheetView>
  </sheetViews>
  <sheetFormatPr defaultColWidth="8.7109375" defaultRowHeight="14.45"/>
  <cols>
    <col min="1" max="1" width="3.42578125" style="545" customWidth="1"/>
    <col min="2" max="2" width="18.5703125" style="545" customWidth="1"/>
    <col min="3" max="3" width="8.7109375" style="545"/>
    <col min="4" max="4" width="12.5703125" style="545" customWidth="1"/>
    <col min="5" max="5" width="13.140625" style="545" customWidth="1"/>
    <col min="6" max="6" width="12.7109375" style="545" customWidth="1"/>
    <col min="7" max="7" width="3.42578125" style="545" customWidth="1"/>
    <col min="8" max="8" width="3.140625" style="547" customWidth="1"/>
    <col min="9" max="9" width="8.7109375" style="545"/>
    <col min="10" max="10" width="38.5703125" style="545" customWidth="1"/>
    <col min="11" max="11" width="12.140625" style="545" customWidth="1"/>
    <col min="12" max="12" width="23" style="545" customWidth="1"/>
    <col min="13" max="13" width="20.140625" style="545" customWidth="1"/>
    <col min="14" max="14" width="26.7109375" style="545" customWidth="1"/>
    <col min="15" max="15" width="22.5703125" style="545" customWidth="1"/>
    <col min="16" max="16" width="23.42578125" style="545" customWidth="1"/>
    <col min="17" max="17" width="5.28515625" style="545" customWidth="1"/>
    <col min="18" max="18" width="3.85546875" style="547" customWidth="1"/>
    <col min="19" max="19" width="8.7109375" style="545"/>
    <col min="20" max="20" width="21.85546875" style="545" customWidth="1"/>
    <col min="21" max="21" width="13.42578125" style="545" customWidth="1"/>
    <col min="22" max="22" width="12.5703125" style="545" customWidth="1"/>
    <col min="23" max="23" width="22.7109375" style="545" customWidth="1"/>
    <col min="24" max="24" width="12.42578125" style="545" customWidth="1"/>
    <col min="25" max="16384" width="8.7109375" style="545"/>
  </cols>
  <sheetData>
    <row r="1" spans="2:23" ht="15" thickBot="1"/>
    <row r="2" spans="2:23" ht="24" thickBot="1">
      <c r="B2" s="1280" t="s">
        <v>207</v>
      </c>
      <c r="C2" s="1281"/>
      <c r="D2" s="1281"/>
      <c r="E2" s="1281"/>
      <c r="F2" s="1282"/>
      <c r="J2" s="1422" t="s">
        <v>235</v>
      </c>
      <c r="K2" s="1423"/>
      <c r="L2" s="1424"/>
      <c r="N2" s="1107" t="s">
        <v>148</v>
      </c>
      <c r="O2"/>
      <c r="T2" s="1294" t="s">
        <v>54</v>
      </c>
      <c r="U2" s="1295"/>
      <c r="V2" s="1295"/>
      <c r="W2" s="1296"/>
    </row>
    <row r="3" spans="2:23" ht="15.6" customHeight="1">
      <c r="B3" s="1303" t="s">
        <v>208</v>
      </c>
      <c r="C3" s="1304"/>
      <c r="D3" s="1304"/>
      <c r="E3" s="1304"/>
      <c r="F3" s="1305"/>
      <c r="J3" s="1384" t="s">
        <v>236</v>
      </c>
      <c r="K3" s="1385"/>
      <c r="L3" s="1386"/>
      <c r="N3" s="1105" t="s">
        <v>237</v>
      </c>
      <c r="O3"/>
      <c r="T3" s="1411" t="s">
        <v>210</v>
      </c>
      <c r="U3" s="1412"/>
      <c r="V3" s="1412"/>
      <c r="W3" s="1413"/>
    </row>
    <row r="4" spans="2:23" ht="17.100000000000001" customHeight="1">
      <c r="B4" s="1297"/>
      <c r="C4" s="1298"/>
      <c r="D4" s="1298"/>
      <c r="E4" s="1298"/>
      <c r="F4" s="1299"/>
      <c r="J4" s="1297"/>
      <c r="K4" s="1298"/>
      <c r="L4" s="1299"/>
      <c r="N4" s="1105" t="s">
        <v>154</v>
      </c>
      <c r="O4"/>
      <c r="T4" s="1411"/>
      <c r="U4" s="1412"/>
      <c r="V4" s="1412"/>
      <c r="W4" s="1413"/>
    </row>
    <row r="5" spans="2:23" ht="17.100000000000001" customHeight="1">
      <c r="B5" s="1297"/>
      <c r="C5" s="1298"/>
      <c r="D5" s="1298"/>
      <c r="E5" s="1298"/>
      <c r="F5" s="1299"/>
      <c r="J5" s="1297"/>
      <c r="K5" s="1298"/>
      <c r="L5" s="1299"/>
      <c r="N5" s="1105" t="s">
        <v>212</v>
      </c>
      <c r="O5"/>
      <c r="T5" s="1411"/>
      <c r="U5" s="1412"/>
      <c r="V5" s="1412"/>
      <c r="W5" s="1413"/>
    </row>
    <row r="6" spans="2:23" ht="13.5" customHeight="1" thickBot="1">
      <c r="B6" s="1300"/>
      <c r="C6" s="1301"/>
      <c r="D6" s="1301"/>
      <c r="E6" s="1301"/>
      <c r="F6" s="1302"/>
      <c r="J6" s="1300"/>
      <c r="K6" s="1301"/>
      <c r="L6" s="1302"/>
      <c r="N6" s="1106" t="s">
        <v>213</v>
      </c>
      <c r="O6"/>
      <c r="T6" s="1414"/>
      <c r="U6" s="1415"/>
      <c r="V6" s="1415"/>
      <c r="W6" s="1416"/>
    </row>
    <row r="7" spans="2:23" ht="18.600000000000001" customHeight="1">
      <c r="J7" s="556" t="s">
        <v>65</v>
      </c>
      <c r="K7" s="664" t="str">
        <f>INSTRUCTIONS!Q8</f>
        <v>Basic</v>
      </c>
      <c r="L7" s="1421" t="str">
        <f>IF(K7="Basic", "ERROR: Ensure 'Advanced' is selected in the INSTRUCTIONS tab if using this tab for principal inputs", " ")</f>
        <v>ERROR: Ensure 'Advanced' is selected in the INSTRUCTIONS tab if using this tab for principal inputs</v>
      </c>
      <c r="M7" s="1421"/>
      <c r="N7" s="1421"/>
      <c r="O7" s="1421"/>
    </row>
    <row r="8" spans="2:23" ht="15" thickBot="1"/>
    <row r="9" spans="2:23" ht="15" thickBot="1">
      <c r="B9" s="1166" t="s">
        <v>66</v>
      </c>
      <c r="C9" s="1210"/>
      <c r="D9" s="1210"/>
      <c r="E9" s="1210"/>
      <c r="F9" s="1211"/>
      <c r="J9" s="1202" t="s">
        <v>238</v>
      </c>
      <c r="K9" s="1368"/>
      <c r="L9" s="1368"/>
      <c r="M9" s="1203"/>
      <c r="T9" s="1218" t="s">
        <v>239</v>
      </c>
      <c r="U9" s="1394"/>
      <c r="V9" s="1394"/>
      <c r="W9" s="1219"/>
    </row>
    <row r="10" spans="2:23" ht="24.95" customHeight="1" thickBot="1">
      <c r="B10" s="1164" t="s">
        <v>68</v>
      </c>
      <c r="C10" s="1206"/>
      <c r="D10" s="1207"/>
      <c r="E10" s="1208"/>
      <c r="F10" s="1209"/>
      <c r="J10" s="1140" t="s">
        <v>224</v>
      </c>
      <c r="K10" s="1365"/>
      <c r="L10" s="1365"/>
      <c r="M10" s="1366"/>
      <c r="T10" s="1395" t="s">
        <v>240</v>
      </c>
      <c r="U10" s="1396"/>
      <c r="V10" s="1396"/>
      <c r="W10" s="1397"/>
    </row>
    <row r="11" spans="2:23" ht="32.1" customHeight="1" thickBot="1">
      <c r="B11" s="1292" t="s">
        <v>71</v>
      </c>
      <c r="C11" s="1293"/>
      <c r="D11" s="1200" t="s">
        <v>72</v>
      </c>
      <c r="E11" s="1293"/>
      <c r="F11" s="782" t="s">
        <v>73</v>
      </c>
      <c r="J11" s="836"/>
      <c r="K11" s="837" t="s">
        <v>241</v>
      </c>
      <c r="L11" s="634" t="s">
        <v>242</v>
      </c>
      <c r="M11" s="643" t="s">
        <v>243</v>
      </c>
      <c r="T11" s="838"/>
      <c r="U11" s="839" t="s">
        <v>244</v>
      </c>
      <c r="V11" s="839" t="s">
        <v>220</v>
      </c>
      <c r="W11" s="840" t="s">
        <v>245</v>
      </c>
    </row>
    <row r="12" spans="2:23" ht="15" thickBot="1">
      <c r="B12" s="1349" t="str">
        <f>IFERROR(IF(INSTRUCTIONS!$Q$8="Advanced", 'Tradeoff Levers'!C8, ""), "")</f>
        <v/>
      </c>
      <c r="C12" s="1380"/>
      <c r="D12" s="1381" t="str">
        <f>IFERROR(IF(INSTRUCTIONS!$Q$8="Advanced", 'Tradeoff Levers'!C9, ""), "")</f>
        <v/>
      </c>
      <c r="E12" s="1382"/>
      <c r="F12" s="1009" t="str">
        <f>IFERROR(IF(INSTRUCTIONS!$Q$8="Advanced",B12-D12, ""), "")</f>
        <v/>
      </c>
      <c r="J12" s="841" t="s">
        <v>246</v>
      </c>
      <c r="K12" s="842"/>
      <c r="L12" s="843"/>
      <c r="M12" s="844"/>
      <c r="T12" s="845" t="s">
        <v>246</v>
      </c>
      <c r="U12" s="846"/>
      <c r="V12" s="846"/>
      <c r="W12" s="847"/>
    </row>
    <row r="13" spans="2:23" ht="17.45" customHeight="1" thickBot="1">
      <c r="B13" s="639"/>
      <c r="C13" s="639"/>
      <c r="D13" s="685"/>
      <c r="E13" s="685"/>
      <c r="F13" s="686"/>
      <c r="J13" s="651" t="s">
        <v>216</v>
      </c>
      <c r="K13" s="848"/>
      <c r="L13" s="590"/>
      <c r="M13" s="601"/>
      <c r="T13" s="651" t="s">
        <v>216</v>
      </c>
      <c r="U13" s="849"/>
      <c r="V13" s="590"/>
      <c r="W13" s="591"/>
    </row>
    <row r="14" spans="2:23" ht="15" customHeight="1" thickBot="1">
      <c r="B14" s="1334" t="s">
        <v>221</v>
      </c>
      <c r="C14" s="1335"/>
      <c r="D14" s="1335"/>
      <c r="E14" s="1335"/>
      <c r="F14" s="1425"/>
      <c r="J14" s="651" t="s">
        <v>217</v>
      </c>
      <c r="K14" s="848"/>
      <c r="L14" s="590"/>
      <c r="M14" s="601"/>
      <c r="N14"/>
      <c r="T14" s="651" t="s">
        <v>217</v>
      </c>
      <c r="U14" s="849"/>
      <c r="V14" s="590"/>
      <c r="W14" s="591"/>
    </row>
    <row r="15" spans="2:23" ht="17.100000000000001" customHeight="1">
      <c r="B15" s="1336" t="s">
        <v>81</v>
      </c>
      <c r="C15" s="1337"/>
      <c r="D15" s="1337"/>
      <c r="E15" s="1337"/>
      <c r="F15" s="1426"/>
      <c r="J15" s="841" t="s">
        <v>247</v>
      </c>
      <c r="K15" s="850"/>
      <c r="L15" s="851"/>
      <c r="M15" s="852"/>
      <c r="T15" s="853" t="s">
        <v>247</v>
      </c>
      <c r="U15" s="854"/>
      <c r="V15" s="854"/>
      <c r="W15" s="855"/>
    </row>
    <row r="16" spans="2:23" ht="28.5" customHeight="1">
      <c r="B16" s="857" t="s">
        <v>84</v>
      </c>
      <c r="C16" s="1199" t="s">
        <v>85</v>
      </c>
      <c r="D16" s="1341"/>
      <c r="E16" s="1200" t="s">
        <v>86</v>
      </c>
      <c r="F16" s="1427"/>
      <c r="J16" s="651" t="s">
        <v>216</v>
      </c>
      <c r="K16" s="848"/>
      <c r="L16" s="590"/>
      <c r="M16" s="601"/>
      <c r="T16" s="651" t="s">
        <v>216</v>
      </c>
      <c r="U16" s="856"/>
      <c r="V16" s="590"/>
      <c r="W16" s="591"/>
    </row>
    <row r="17" spans="2:23">
      <c r="B17" s="579" t="s">
        <v>227</v>
      </c>
      <c r="C17" s="1135" t="str">
        <f>IF(INSTRUCTIONS!$Q$8="Advanced",SUM('Advanced Principal Analysis'!N5:N6, 'Advanced Principal Analysis'!N9:N10, 'Advanced Principal Analysis'!N13:N14), "")</f>
        <v/>
      </c>
      <c r="D17" s="1135"/>
      <c r="E17" s="1135" t="str">
        <f>IF(INSTRUCTIONS!$Q$8="Advanced",SUM('Advanced Principal Analysis'!O5:O6, 'Advanced Principal Analysis'!O9:O10, 'Advanced Principal Analysis'!O13:O14), "")</f>
        <v/>
      </c>
      <c r="F17" s="1136"/>
      <c r="J17" s="651" t="s">
        <v>217</v>
      </c>
      <c r="K17" s="848"/>
      <c r="L17" s="590"/>
      <c r="M17" s="601"/>
      <c r="T17" s="651" t="s">
        <v>217</v>
      </c>
      <c r="U17" s="856"/>
      <c r="V17" s="590"/>
      <c r="W17" s="591"/>
    </row>
    <row r="18" spans="2:23">
      <c r="B18" s="579" t="s">
        <v>97</v>
      </c>
      <c r="C18" s="1135" t="str">
        <f>IF(INSTRUCTIONS!$Q$8="Advanced",'Advanced Principal Analysis'!$N$170, "")</f>
        <v/>
      </c>
      <c r="D18" s="1135"/>
      <c r="E18" s="1135" t="str">
        <f>IF(INSTRUCTIONS!$Q$8="Advanced",'Advanced Principal Analysis'!$O$170, "")</f>
        <v/>
      </c>
      <c r="F18" s="1136"/>
      <c r="J18" s="841" t="s">
        <v>248</v>
      </c>
      <c r="K18" s="850"/>
      <c r="L18" s="851"/>
      <c r="M18" s="852"/>
      <c r="T18" s="845" t="s">
        <v>248</v>
      </c>
      <c r="U18" s="846"/>
      <c r="V18" s="846"/>
      <c r="W18" s="847"/>
    </row>
    <row r="19" spans="2:23">
      <c r="B19" s="579" t="s">
        <v>101</v>
      </c>
      <c r="C19" s="1135" t="str">
        <f>IF(INSTRUCTIONS!$Q$8="Advanced",'Advanced Principal Analysis'!$N$149, "")</f>
        <v/>
      </c>
      <c r="D19" s="1135"/>
      <c r="E19" s="1135" t="str">
        <f>IF(INSTRUCTIONS!$Q$8="Advanced",'Advanced Principal Analysis'!$O$149, "")</f>
        <v/>
      </c>
      <c r="F19" s="1136"/>
      <c r="J19" s="651" t="s">
        <v>216</v>
      </c>
      <c r="K19" s="848"/>
      <c r="L19" s="590"/>
      <c r="M19" s="601"/>
      <c r="T19" s="651" t="s">
        <v>216</v>
      </c>
      <c r="U19" s="856"/>
      <c r="V19" s="590"/>
      <c r="W19" s="591"/>
    </row>
    <row r="20" spans="2:23" ht="15" thickBot="1">
      <c r="B20" s="579" t="s">
        <v>103</v>
      </c>
      <c r="C20" s="1135" t="str">
        <f>IF(INSTRUCTIONS!$Q$8="Advanced",'Advanced Principal Analysis'!$N$177, "")</f>
        <v/>
      </c>
      <c r="D20" s="1135"/>
      <c r="E20" s="1135" t="str">
        <f>IF(INSTRUCTIONS!$Q$8="Advanced",'Advanced Principal Analysis'!$O$177, "")</f>
        <v/>
      </c>
      <c r="F20" s="1136"/>
      <c r="J20" s="679" t="s">
        <v>217</v>
      </c>
      <c r="K20" s="858"/>
      <c r="L20" s="594"/>
      <c r="M20" s="820"/>
      <c r="T20" s="679" t="s">
        <v>217</v>
      </c>
      <c r="U20" s="859"/>
      <c r="V20" s="594"/>
      <c r="W20" s="595"/>
    </row>
    <row r="21" spans="2:23" ht="15" thickBot="1">
      <c r="B21" s="1033" t="s">
        <v>105</v>
      </c>
      <c r="C21" s="1133" t="str">
        <f>IF(INSTRUCTIONS!$Q$8="Advanced",'Advanced Principal Analysis'!$N$186, "")</f>
        <v/>
      </c>
      <c r="D21" s="1133"/>
      <c r="E21" s="1133" t="str">
        <f>IF(INSTRUCTIONS!$Q$8="Advanced",'Advanced Principal Analysis'!$O$186, "")</f>
        <v/>
      </c>
      <c r="F21" s="1134"/>
    </row>
    <row r="22" spans="2:23" ht="26.1" customHeight="1" thickBot="1">
      <c r="B22" s="1185" t="s">
        <v>229</v>
      </c>
      <c r="C22" s="1186"/>
      <c r="D22" s="1186"/>
      <c r="E22" s="1378" t="str">
        <f>IF(INSTRUCTIONS!$Q$8="Advanced", E21-C21, "")</f>
        <v/>
      </c>
      <c r="F22" s="1379"/>
      <c r="J22" s="1176" t="s">
        <v>249</v>
      </c>
      <c r="K22" s="1177"/>
      <c r="L22" s="1177"/>
      <c r="M22" s="1178"/>
      <c r="T22" s="1258" t="s">
        <v>250</v>
      </c>
      <c r="U22" s="1259"/>
      <c r="V22" s="1260"/>
    </row>
    <row r="23" spans="2:23" ht="16.5" customHeight="1" thickBot="1">
      <c r="B23" s="597"/>
      <c r="C23" s="860"/>
      <c r="D23" s="860"/>
      <c r="E23" s="860"/>
      <c r="F23" s="860"/>
      <c r="J23" s="861" t="s">
        <v>251</v>
      </c>
      <c r="K23" s="862"/>
      <c r="L23" s="863"/>
      <c r="M23" s="567"/>
      <c r="T23" s="651" t="s">
        <v>88</v>
      </c>
      <c r="U23" s="864"/>
      <c r="V23" s="865"/>
    </row>
    <row r="24" spans="2:23" ht="15" thickBot="1">
      <c r="B24" s="1334" t="s">
        <v>108</v>
      </c>
      <c r="C24" s="1335"/>
      <c r="D24" s="1335"/>
      <c r="E24" s="1335"/>
      <c r="F24" s="1425"/>
      <c r="J24" s="866" t="s">
        <v>252</v>
      </c>
      <c r="K24" s="725"/>
      <c r="L24" s="867"/>
      <c r="M24" s="578"/>
      <c r="T24" s="1400" t="s">
        <v>83</v>
      </c>
      <c r="U24" s="1401"/>
      <c r="V24" s="578"/>
    </row>
    <row r="25" spans="2:23" ht="15" thickBot="1">
      <c r="B25" s="1336" t="s">
        <v>110</v>
      </c>
      <c r="C25" s="1337"/>
      <c r="D25" s="1337"/>
      <c r="E25" s="1337"/>
      <c r="F25" s="1426"/>
    </row>
    <row r="26" spans="2:23" ht="15" customHeight="1">
      <c r="B26" s="600" t="s">
        <v>112</v>
      </c>
      <c r="C26" s="1244" t="s">
        <v>85</v>
      </c>
      <c r="D26" s="1348"/>
      <c r="E26" s="1204" t="s">
        <v>86</v>
      </c>
      <c r="F26" s="1417"/>
      <c r="J26" s="1402" t="s">
        <v>253</v>
      </c>
      <c r="K26" s="1403"/>
      <c r="L26" s="1403"/>
      <c r="M26" s="1403"/>
      <c r="N26" s="1403"/>
      <c r="O26" s="1403"/>
      <c r="P26" s="1404"/>
    </row>
    <row r="27" spans="2:23" ht="15" customHeight="1">
      <c r="B27" s="1035" t="s">
        <v>231</v>
      </c>
      <c r="C27" s="1407" t="str">
        <f>IFERROR(IF(INSTRUCTIONS!$Q$8="Advanced",'Advanced Principal Analysis'!$N$182, ""), 0)</f>
        <v/>
      </c>
      <c r="D27" s="1322"/>
      <c r="E27" s="1247" t="str">
        <f>IFERROR(IF(INSTRUCTIONS!$Q$8="Advanced",'Advanced Principal Analysis'!$O$182, ""), 0)</f>
        <v/>
      </c>
      <c r="F27" s="1408"/>
      <c r="J27" s="841" t="s">
        <v>246</v>
      </c>
      <c r="K27" s="842"/>
      <c r="L27" s="842"/>
      <c r="M27" s="842"/>
      <c r="N27" s="842"/>
      <c r="O27" s="842"/>
      <c r="P27" s="844"/>
    </row>
    <row r="28" spans="2:23" ht="27.6" customHeight="1">
      <c r="B28" s="579" t="s">
        <v>232</v>
      </c>
      <c r="C28" s="1418" t="str">
        <f>IFERROR(IF(INSTRUCTIONS!$Q$8="Advanced",'Advanced Principal Analysis'!$N$185, ""), 0)</f>
        <v/>
      </c>
      <c r="D28" s="1419"/>
      <c r="E28" s="1418" t="str">
        <f>IFERROR(IF(INSTRUCTIONS!$Q$8="Advanced",'Advanced Principal Analysis'!$O$185, ""), 0)</f>
        <v/>
      </c>
      <c r="F28" s="1420"/>
      <c r="J28" s="1145" t="s">
        <v>254</v>
      </c>
      <c r="K28" s="1146"/>
      <c r="L28" s="1146"/>
      <c r="M28" s="1146"/>
      <c r="N28" s="1146"/>
      <c r="O28" s="1146"/>
      <c r="P28" s="1147"/>
    </row>
    <row r="29" spans="2:23" ht="15.95" customHeight="1">
      <c r="B29" s="600" t="s">
        <v>116</v>
      </c>
      <c r="C29" s="603" t="s">
        <v>82</v>
      </c>
      <c r="D29" s="712" t="s">
        <v>117</v>
      </c>
      <c r="E29" s="603" t="s">
        <v>82</v>
      </c>
      <c r="F29" s="1036" t="s">
        <v>117</v>
      </c>
      <c r="J29" s="1405" t="s">
        <v>230</v>
      </c>
      <c r="K29" s="1406" t="s">
        <v>215</v>
      </c>
      <c r="L29" s="1406"/>
      <c r="M29" s="1406"/>
      <c r="N29" s="1398" t="s">
        <v>218</v>
      </c>
      <c r="O29" s="1398"/>
      <c r="P29" s="1399"/>
    </row>
    <row r="30" spans="2:23">
      <c r="B30" s="1442" t="s">
        <v>215</v>
      </c>
      <c r="C30" s="1443"/>
      <c r="D30" s="1443"/>
      <c r="E30" s="1443"/>
      <c r="F30" s="1444"/>
      <c r="J30" s="1405"/>
      <c r="K30" s="868" t="s">
        <v>82</v>
      </c>
      <c r="L30" s="795" t="s">
        <v>99</v>
      </c>
      <c r="M30" s="868" t="s">
        <v>100</v>
      </c>
      <c r="N30" s="869" t="s">
        <v>82</v>
      </c>
      <c r="O30" s="798" t="s">
        <v>99</v>
      </c>
      <c r="P30" s="799" t="s">
        <v>100</v>
      </c>
    </row>
    <row r="31" spans="2:23">
      <c r="B31" s="579" t="s">
        <v>119</v>
      </c>
      <c r="C31" s="888" t="str">
        <f>IFERROR(IF(INSTRUCTIONS!$Q$8="Advanced",(IF(L80&gt;0, K80*K13, 0)+IF(L83&gt;0, K83*K16, 0)+(IF(L86&gt;0, K86*K19, 0)))/SUM(K13,K16,K19), ""), 0)</f>
        <v/>
      </c>
      <c r="D31" s="831" t="str">
        <f>IFERROR(IF(INSTRUCTIONS!$Q$8="Advanced",AVERAGE(L80,L83,L86), ""), 0)</f>
        <v/>
      </c>
      <c r="E31" s="889" t="str">
        <f>IFERROR(IF(INSTRUCTIONS!$Q$8="Advanced",(IF(N80&gt;0, M80*K13, 0)+IF(N83&gt;0, M83*K16, 0)+(IF(N86&gt;0, M86*K19, 0)))/SUM(K13,K16,K19), ""), 0)</f>
        <v/>
      </c>
      <c r="F31" s="1037" t="str">
        <f>IFERROR(IF(INSTRUCTIONS!$Q$8="Advanced",AVERAGE(N80, N83, N86), ""), 0)</f>
        <v/>
      </c>
      <c r="J31" s="615"/>
      <c r="K31" s="618"/>
      <c r="L31" s="1077"/>
      <c r="M31" s="1081"/>
      <c r="N31" s="618"/>
      <c r="O31" s="1082"/>
      <c r="P31" s="1083"/>
    </row>
    <row r="32" spans="2:23">
      <c r="B32" s="579" t="s">
        <v>101</v>
      </c>
      <c r="C32" s="773" t="str">
        <f>IFERROR(IF(INSTRUCTIONS!$Q$8="Advanced",(( SUMIF(L32:L40, "&gt;0",K32:K40)*K13)+( SUMIF(L48:L56, "&gt;0",K48:K56)*K16)+( SUMIF(L64:L72, "&gt;0",K64:K72)*K19))/SUM(K13, K16, K19), ""), 0)</f>
        <v/>
      </c>
      <c r="D32" s="835" t="str" cm="1">
        <f t="array" ref="D32">IF(INSTRUCTIONS!$Q$8="Advanced",IF(
  (SUMPRODUCT(--(L32:L40&gt;0)) + SUMPRODUCT(--(L48:L56&gt;0)) + SUMPRODUCT(--(L64:L72&gt;0))) = 0,
  0,
  (IF(SUMPRODUCT(--(L32:L40&gt;0))&gt;0, AVERAGEIF(L32:L40, "&gt;0",L32:L40), 0) +
   IF(SUMPRODUCT(--(L48:L56&gt;0))&gt;0, AVERAGEIF(L48:L56, "&gt;0",L48:L56), 0) +
   IF(SUMPRODUCT(--(L64:L72&gt;0))&gt;0, AVERAGEIF(L64:L72, "&gt;0",L64:L72), 0)) /
  (IF(SUMPRODUCT(--(L32:L40&gt;0))&gt;0, 1, 0) +
   IF(SUMPRODUCT(--(L48:L56&gt;0))&gt;0, 1, 0) +
   IF(SUMPRODUCT(--(L64:L72&gt;0))&gt;0, 1, 0))
), "")</f>
        <v/>
      </c>
      <c r="E32" s="834" t="str">
        <f>IFERROR(IF(INSTRUCTIONS!$Q$8="Advanced",(( SUMIF(M32:M40, "&gt;0",K32:K40)*K13)+( SUMIF(M48:M56, "&gt;0",K48:K56)*K16)+( SUMIF(M64:M72, "&gt;0",K64:K72)*K19))/SUM(K13, K16, K19), ""), 0)</f>
        <v/>
      </c>
      <c r="F32" s="1037" t="str" cm="1">
        <f t="array" ref="F32">IF(INSTRUCTIONS!$Q$8="Advanced",IF(SUMPRODUCT(--(M32:M40&gt;0),  --(M48:M56&gt;0), --(M64:M72&gt;0)) = 0,
  0,
  (IFERROR(AVERAGEIF(M32:M40, "&gt;0", M32:M40), 0) +
  IFERROR(AVERAGEIF(M48:M56, "&gt;0", M48:M56), 0) +
  IFERROR(AVERAGEIF(M64:M72, "&gt;0", M64:M72), 0)) /
  (SUM(--(AVERAGEIF(M32:M40, "&gt;0", M32:M40)&gt;0))+
  SUM(--(AVERAGEIF(M48:M56, "&gt;0", M48:M56)&gt;0)) +
  SUM(--(AVERAGEIF(M64:M72, "&gt;0", M64:M72)&gt;0)))), "")</f>
        <v/>
      </c>
      <c r="J32" s="870"/>
      <c r="K32" s="618"/>
      <c r="L32" s="590"/>
      <c r="M32" s="590"/>
      <c r="N32" s="618"/>
      <c r="O32" s="590"/>
      <c r="P32" s="591"/>
    </row>
    <row r="33" spans="2:17">
      <c r="B33" s="1442" t="s">
        <v>218</v>
      </c>
      <c r="C33" s="1443"/>
      <c r="D33" s="1443"/>
      <c r="E33" s="1443"/>
      <c r="F33" s="1444"/>
      <c r="J33" s="871"/>
      <c r="K33" s="618"/>
      <c r="L33" s="590"/>
      <c r="M33" s="590"/>
      <c r="N33" s="618"/>
      <c r="O33" s="590"/>
      <c r="P33" s="591"/>
    </row>
    <row r="34" spans="2:17">
      <c r="B34" s="579" t="s">
        <v>119</v>
      </c>
      <c r="C34" s="888" t="str">
        <f>IFERROR(IF(INSTRUCTIONS!$Q$8="Advanced",(IF(L81&gt;0, K81*K20, 0)+IF(L84&gt;0, K84*K17, 0)+(IF(L87&gt;0, K87*K20, 0)))/SUM(K14,K17,K20), ""), 0)</f>
        <v/>
      </c>
      <c r="D34" s="831" t="str">
        <f>IFERROR(IF(INSTRUCTIONS!$Q$8="Advanced",AVERAGE(L81,L84,L87), ""), 0)</f>
        <v/>
      </c>
      <c r="E34" s="889" t="str">
        <f>IFERROR(IF(INSTRUCTIONS!$Q$8="Advanced",(IF(N81&gt;0, M81*K14, 0)+IF(N84&gt;0, M84*K17, 0)+(IF(N87&gt;0, M87*K20, 0)))/SUM(K14,K17,K20), ""), 0)</f>
        <v/>
      </c>
      <c r="F34" s="1037" t="str">
        <f>IFERROR(IF(INSTRUCTIONS!$Q$8="Advanced",AVERAGE(N81,N84,N87), ""), 0)</f>
        <v/>
      </c>
      <c r="J34" s="872"/>
      <c r="K34" s="618"/>
      <c r="L34" s="590"/>
      <c r="M34" s="590"/>
      <c r="N34" s="618"/>
      <c r="O34" s="590"/>
      <c r="P34" s="591"/>
    </row>
    <row r="35" spans="2:17" ht="15" thickBot="1">
      <c r="B35" s="592" t="s">
        <v>101</v>
      </c>
      <c r="C35" s="660" t="str">
        <f>IFERROR(IF(INSTRUCTIONS!$Q$8="Advanced",(( SUMIF(O32:O40, "&gt;0",N32:N40)*K14)+( SUMIF(O48:O56, "&gt;0",N48:N56)*K17)+( SUMIF(O64:O72, "&gt;0",N64:N72)*K20))/SUM(K14, K17, K20), ""), 0)</f>
        <v/>
      </c>
      <c r="D35" s="1038" t="str" cm="1">
        <f t="array" ref="D35">IF(INSTRUCTIONS!$Q$8="Advanced",IF(
  (SUMPRODUCT(--(O32:O40&gt;0)) + SUMPRODUCT(--(O48:O56&gt;0)) + SUMPRODUCT(--(O64:O72&gt;0))) = 0,
  0,
  (IF(SUMPRODUCT(--(O32:O40&gt;0))&gt;0, AVERAGEIF(O32:O40, "&gt;0",O32:O40), 0) +
   IF(SUMPRODUCT(--(O48:O56&gt;0))&gt;0, AVERAGEIF(O48:O56, "&gt;0",O48:O56), 0) +
   IF(SUMPRODUCT(--(O64:O72&gt;0))&gt;0, AVERAGEIF(O64:O72, "&gt;0",O64:O72), 0)) /
  (IF(SUMPRODUCT(--(O32:O40&gt;0))&gt;0, 1, 0) +
   IF(SUMPRODUCT(--(O48:O56&gt;0))&gt;0, 1, 0) +
   IF(SUMPRODUCT(--(O64:O72&gt;0))&gt;0, 1, 0))
), "")</f>
        <v/>
      </c>
      <c r="E35" s="1039" t="str">
        <f>IFERROR(IF(INSTRUCTIONS!$Q$8="Advanced",(( SUMIF(P32:P40, "&gt;0",N32:N40)*K14)+( SUMIF(P48:P56, "&gt;0",N48:N56)*K17)+( SUMIF(P64:P72, "&gt;0",N64:N72)*K20))/SUM(K14, K17, K20), ""), 0)</f>
        <v/>
      </c>
      <c r="F35" s="1040" t="str" cm="1">
        <f t="array" ref="F35">IF(INSTRUCTIONS!$Q$8="Advanced",IF(
  (SUMPRODUCT(--(P32:P40&gt;0)) + SUMPRODUCT(--(P48:P56&gt;0)) + SUMPRODUCT(--(P64:P72&gt;0))) = 0,
  0,
  (IF(SUMPRODUCT(--(P32:P40&gt;0))&gt;0, AVERAGEIF(P32:P40, "&gt;0", P32:P40), 0) +
   IF(SUMPRODUCT(--(P48:P56&gt;0))&gt;0, AVERAGEIF(P48:P56, "&gt;0", P48:P56), 0) +
   IF(SUMPRODUCT(--(P64:P72&gt;0))&gt;0, AVERAGEIF(P64:P72, "&gt;0", P64:P72), 0)) /
  (IF(SUMPRODUCT(--(P32:P40&gt;0))&gt;0, 1, 0) +
   IF(SUMPRODUCT(--(P48:P56&gt;0))&gt;0, 1, 0) +
   IF(SUMPRODUCT(--(P64:P72&gt;0))&gt;0, 1, 0))
), "")</f>
        <v/>
      </c>
      <c r="J35" s="873"/>
      <c r="K35" s="746"/>
      <c r="L35" s="747"/>
      <c r="M35" s="747"/>
      <c r="N35" s="746"/>
      <c r="O35" s="747"/>
      <c r="P35" s="748"/>
    </row>
    <row r="36" spans="2:17" ht="15" thickBot="1">
      <c r="J36" s="622"/>
      <c r="K36" s="618"/>
      <c r="L36" s="590"/>
      <c r="M36" s="590"/>
      <c r="N36" s="618"/>
      <c r="O36" s="590"/>
      <c r="P36" s="591"/>
    </row>
    <row r="37" spans="2:17">
      <c r="B37" s="1430" t="s">
        <v>126</v>
      </c>
      <c r="C37" s="1431"/>
      <c r="D37" s="1431"/>
      <c r="E37" s="1432"/>
      <c r="J37" s="622"/>
      <c r="K37" s="618"/>
      <c r="L37" s="590"/>
      <c r="M37" s="590"/>
      <c r="N37" s="618"/>
      <c r="O37" s="590"/>
      <c r="P37" s="591"/>
    </row>
    <row r="38" spans="2:17" ht="15.95" customHeight="1">
      <c r="B38" s="1434" t="s">
        <v>128</v>
      </c>
      <c r="C38" s="1236"/>
      <c r="D38" s="1236"/>
      <c r="E38" s="1435"/>
      <c r="J38" s="622"/>
      <c r="K38" s="618"/>
      <c r="L38" s="590"/>
      <c r="M38" s="590"/>
      <c r="N38" s="618"/>
      <c r="O38" s="590"/>
      <c r="P38" s="591"/>
    </row>
    <row r="39" spans="2:17" ht="15.95" customHeight="1">
      <c r="B39" s="1436"/>
      <c r="C39" s="1239"/>
      <c r="D39" s="1239"/>
      <c r="E39" s="1437"/>
      <c r="J39" s="622"/>
      <c r="K39" s="618"/>
      <c r="L39" s="590"/>
      <c r="M39" s="590"/>
      <c r="N39" s="618"/>
      <c r="O39" s="590"/>
      <c r="P39" s="591"/>
    </row>
    <row r="40" spans="2:17" ht="15" thickBot="1">
      <c r="B40" s="1436"/>
      <c r="C40" s="1239"/>
      <c r="D40" s="1239"/>
      <c r="E40" s="1437"/>
      <c r="J40" s="623"/>
      <c r="K40" s="606"/>
      <c r="L40" s="594"/>
      <c r="M40" s="594"/>
      <c r="N40" s="606"/>
      <c r="O40" s="594"/>
      <c r="P40" s="595"/>
    </row>
    <row r="41" spans="2:17" ht="15" thickBot="1">
      <c r="B41" s="1436"/>
      <c r="C41" s="1239"/>
      <c r="D41" s="1239"/>
      <c r="E41" s="1437"/>
      <c r="K41" s="289" t="str">
        <f>IF(SUM(K31:K40)&lt;&gt;1,"Total percentage must equal 100%.","")</f>
        <v>Total percentage must equal 100%.</v>
      </c>
      <c r="N41" s="289" t="str">
        <f>IF(SUM(N31:N40)&lt;&gt;1,"Total percentage must equal 100%.","")</f>
        <v>Total percentage must equal 100%.</v>
      </c>
    </row>
    <row r="42" spans="2:17" ht="14.45" customHeight="1">
      <c r="B42" s="1438"/>
      <c r="C42" s="1242"/>
      <c r="D42" s="1242"/>
      <c r="E42" s="1439"/>
      <c r="J42" s="1402" t="s">
        <v>255</v>
      </c>
      <c r="K42" s="1403"/>
      <c r="L42" s="1403"/>
      <c r="M42" s="1403"/>
      <c r="N42" s="1403"/>
      <c r="O42" s="1403"/>
      <c r="P42" s="1404"/>
    </row>
    <row r="43" spans="2:17">
      <c r="B43" s="1433"/>
      <c r="C43" s="1251"/>
      <c r="D43" s="612" t="s">
        <v>85</v>
      </c>
      <c r="E43" s="986" t="s">
        <v>86</v>
      </c>
      <c r="J43" s="841" t="s">
        <v>247</v>
      </c>
      <c r="K43" s="842"/>
      <c r="L43" s="842"/>
      <c r="M43" s="842"/>
      <c r="N43" s="842"/>
      <c r="O43" s="842"/>
      <c r="P43" s="844"/>
    </row>
    <row r="44" spans="2:17" ht="14.45" customHeight="1">
      <c r="B44" s="1440" t="s">
        <v>132</v>
      </c>
      <c r="C44" s="1441"/>
      <c r="D44" s="1042" t="str">
        <f>IF(INSTRUCTIONS!$Q$8="Advanced",'Advanced Principal Analysis'!$S$217, "")</f>
        <v/>
      </c>
      <c r="E44" s="1063" t="str">
        <f>IF(INSTRUCTIONS!$Q$8="Advanced",'Advanced Principal Analysis'!$S$203, "")</f>
        <v/>
      </c>
      <c r="J44" s="1145" t="s">
        <v>256</v>
      </c>
      <c r="K44" s="1146"/>
      <c r="L44" s="1146"/>
      <c r="M44" s="1146"/>
      <c r="N44" s="1146"/>
      <c r="O44" s="1146"/>
      <c r="P44" s="1147"/>
    </row>
    <row r="45" spans="2:17" ht="15" thickBot="1">
      <c r="B45" s="1400" t="s">
        <v>134</v>
      </c>
      <c r="C45" s="1401"/>
      <c r="D45" s="1428" t="str">
        <f>IF(INSTRUCTIONS!$Q$8="Advanced",E44-D44, "")</f>
        <v/>
      </c>
      <c r="E45" s="1429"/>
      <c r="J45" s="1405" t="s">
        <v>230</v>
      </c>
      <c r="K45" s="1406" t="s">
        <v>215</v>
      </c>
      <c r="L45" s="1406"/>
      <c r="M45" s="1406"/>
      <c r="N45" s="1398" t="s">
        <v>218</v>
      </c>
      <c r="O45" s="1398"/>
      <c r="P45" s="1399"/>
      <c r="Q45" s="752"/>
    </row>
    <row r="46" spans="2:17">
      <c r="J46" s="1405"/>
      <c r="K46" s="868" t="s">
        <v>82</v>
      </c>
      <c r="L46" s="795" t="s">
        <v>99</v>
      </c>
      <c r="M46" s="868" t="s">
        <v>100</v>
      </c>
      <c r="N46" s="869" t="s">
        <v>82</v>
      </c>
      <c r="O46" s="798" t="s">
        <v>99</v>
      </c>
      <c r="P46" s="799" t="s">
        <v>100</v>
      </c>
    </row>
    <row r="47" spans="2:17">
      <c r="J47" s="890" t="str">
        <f>IF(J31="", "", J31)</f>
        <v/>
      </c>
      <c r="K47" s="618"/>
      <c r="L47" s="1077"/>
      <c r="M47" s="1081"/>
      <c r="N47" s="618"/>
      <c r="O47" s="1082"/>
      <c r="P47" s="1083"/>
      <c r="Q47" s="752"/>
    </row>
    <row r="48" spans="2:17">
      <c r="J48" s="890" t="str">
        <f t="shared" ref="J48:J55" si="0">IF(J32="", "", J32)</f>
        <v/>
      </c>
      <c r="K48" s="618"/>
      <c r="L48" s="590"/>
      <c r="M48" s="590"/>
      <c r="N48" s="618"/>
      <c r="O48" s="590"/>
      <c r="P48" s="591"/>
    </row>
    <row r="49" spans="10:17">
      <c r="J49" s="890" t="str">
        <f t="shared" si="0"/>
        <v/>
      </c>
      <c r="K49" s="618"/>
      <c r="L49" s="590"/>
      <c r="M49" s="590"/>
      <c r="N49" s="618"/>
      <c r="O49" s="590"/>
      <c r="P49" s="591"/>
    </row>
    <row r="50" spans="10:17">
      <c r="J50" s="890" t="str">
        <f t="shared" si="0"/>
        <v/>
      </c>
      <c r="K50" s="618"/>
      <c r="L50" s="590"/>
      <c r="M50" s="590"/>
      <c r="N50" s="618"/>
      <c r="O50" s="590"/>
      <c r="P50" s="591"/>
      <c r="Q50" s="752"/>
    </row>
    <row r="51" spans="10:17">
      <c r="J51" s="890" t="str">
        <f t="shared" si="0"/>
        <v/>
      </c>
      <c r="K51" s="746"/>
      <c r="L51" s="747"/>
      <c r="M51" s="747"/>
      <c r="N51" s="746"/>
      <c r="O51" s="747"/>
      <c r="P51" s="748"/>
    </row>
    <row r="52" spans="10:17">
      <c r="J52" s="890" t="str">
        <f t="shared" si="0"/>
        <v/>
      </c>
      <c r="K52" s="618"/>
      <c r="L52" s="590"/>
      <c r="M52" s="590"/>
      <c r="N52" s="618"/>
      <c r="O52" s="590"/>
      <c r="P52" s="591"/>
      <c r="Q52" s="752"/>
    </row>
    <row r="53" spans="10:17">
      <c r="J53" s="890" t="str">
        <f t="shared" si="0"/>
        <v/>
      </c>
      <c r="K53" s="618"/>
      <c r="L53" s="590"/>
      <c r="M53" s="590"/>
      <c r="N53" s="618"/>
      <c r="O53" s="590"/>
      <c r="P53" s="591"/>
    </row>
    <row r="54" spans="10:17">
      <c r="J54" s="890" t="str">
        <f t="shared" si="0"/>
        <v/>
      </c>
      <c r="K54" s="618"/>
      <c r="L54" s="590"/>
      <c r="M54" s="590"/>
      <c r="N54" s="618"/>
      <c r="O54" s="590"/>
      <c r="P54" s="591"/>
    </row>
    <row r="55" spans="10:17">
      <c r="J55" s="890" t="str">
        <f t="shared" si="0"/>
        <v/>
      </c>
      <c r="K55" s="618"/>
      <c r="L55" s="590"/>
      <c r="M55" s="590"/>
      <c r="N55" s="618"/>
      <c r="O55" s="590"/>
      <c r="P55" s="591"/>
      <c r="Q55" s="752"/>
    </row>
    <row r="56" spans="10:17" ht="15" thickBot="1">
      <c r="J56" s="891" t="str">
        <f>IF(J40="", "", J40)</f>
        <v/>
      </c>
      <c r="K56" s="606"/>
      <c r="L56" s="594"/>
      <c r="M56" s="594"/>
      <c r="N56" s="606"/>
      <c r="O56" s="594"/>
      <c r="P56" s="595"/>
    </row>
    <row r="57" spans="10:17" ht="15" thickBot="1">
      <c r="K57" s="289" t="str">
        <f>IF(SUM(K47:K56)&lt;&gt;1,"Total percentage must equal 100%.","")</f>
        <v>Total percentage must equal 100%.</v>
      </c>
      <c r="N57" s="289" t="str">
        <f>IF(SUM(N47:N56)&lt;&gt;1,"Total percentage must equal 100%.","")</f>
        <v>Total percentage must equal 100%.</v>
      </c>
      <c r="P57" s="727"/>
      <c r="Q57" s="752"/>
    </row>
    <row r="58" spans="10:17">
      <c r="J58" s="1402" t="s">
        <v>257</v>
      </c>
      <c r="K58" s="1403"/>
      <c r="L58" s="1403"/>
      <c r="M58" s="1403"/>
      <c r="N58" s="1403"/>
      <c r="O58" s="1403"/>
      <c r="P58" s="1404"/>
    </row>
    <row r="59" spans="10:17">
      <c r="J59" s="841" t="s">
        <v>248</v>
      </c>
      <c r="K59" s="842"/>
      <c r="L59" s="842"/>
      <c r="M59" s="842"/>
      <c r="N59" s="842"/>
      <c r="O59" s="842"/>
      <c r="P59" s="844"/>
    </row>
    <row r="60" spans="10:17" ht="14.45" customHeight="1">
      <c r="J60" s="1145" t="s">
        <v>256</v>
      </c>
      <c r="K60" s="1146"/>
      <c r="L60" s="1146"/>
      <c r="M60" s="1146"/>
      <c r="N60" s="1146"/>
      <c r="O60" s="1146"/>
      <c r="P60" s="1147"/>
    </row>
    <row r="61" spans="10:17">
      <c r="J61" s="1405" t="s">
        <v>230</v>
      </c>
      <c r="K61" s="1406" t="s">
        <v>215</v>
      </c>
      <c r="L61" s="1406"/>
      <c r="M61" s="1406"/>
      <c r="N61" s="1398" t="s">
        <v>218</v>
      </c>
      <c r="O61" s="1398"/>
      <c r="P61" s="1399"/>
    </row>
    <row r="62" spans="10:17">
      <c r="J62" s="1405"/>
      <c r="K62" s="868" t="s">
        <v>82</v>
      </c>
      <c r="L62" s="795" t="s">
        <v>99</v>
      </c>
      <c r="M62" s="868" t="s">
        <v>100</v>
      </c>
      <c r="N62" s="869" t="s">
        <v>82</v>
      </c>
      <c r="O62" s="798" t="s">
        <v>99</v>
      </c>
      <c r="P62" s="799" t="s">
        <v>100</v>
      </c>
    </row>
    <row r="63" spans="10:17">
      <c r="J63" s="890" t="str">
        <f>IF(J31="", "", J31)</f>
        <v/>
      </c>
      <c r="K63" s="618"/>
      <c r="L63" s="1077"/>
      <c r="M63" s="1081"/>
      <c r="N63" s="618"/>
      <c r="O63" s="1082"/>
      <c r="P63" s="1083"/>
    </row>
    <row r="64" spans="10:17">
      <c r="J64" s="890" t="str">
        <f t="shared" ref="J64:J71" si="1">IF(J32="", "", J32)</f>
        <v/>
      </c>
      <c r="K64" s="618"/>
      <c r="L64" s="590"/>
      <c r="M64" s="590"/>
      <c r="N64" s="618"/>
      <c r="O64" s="590"/>
      <c r="P64" s="591"/>
    </row>
    <row r="65" spans="10:17">
      <c r="J65" s="890" t="str">
        <f t="shared" si="1"/>
        <v/>
      </c>
      <c r="K65" s="618"/>
      <c r="L65" s="590"/>
      <c r="M65" s="590"/>
      <c r="N65" s="618"/>
      <c r="O65" s="590"/>
      <c r="P65" s="591"/>
    </row>
    <row r="66" spans="10:17">
      <c r="J66" s="890" t="str">
        <f t="shared" si="1"/>
        <v/>
      </c>
      <c r="K66" s="618"/>
      <c r="L66" s="590"/>
      <c r="M66" s="590"/>
      <c r="N66" s="618"/>
      <c r="O66" s="590"/>
      <c r="P66" s="591"/>
    </row>
    <row r="67" spans="10:17">
      <c r="J67" s="890" t="str">
        <f t="shared" si="1"/>
        <v/>
      </c>
      <c r="K67" s="874"/>
      <c r="L67" s="747"/>
      <c r="M67" s="747"/>
      <c r="N67" s="746"/>
      <c r="O67" s="747"/>
      <c r="P67" s="748"/>
    </row>
    <row r="68" spans="10:17">
      <c r="J68" s="890" t="str">
        <f t="shared" si="1"/>
        <v/>
      </c>
      <c r="K68" s="875"/>
      <c r="L68" s="811"/>
      <c r="M68" s="811"/>
      <c r="N68" s="876"/>
      <c r="O68" s="811"/>
      <c r="P68" s="647"/>
    </row>
    <row r="69" spans="10:17">
      <c r="J69" s="890" t="str">
        <f t="shared" si="1"/>
        <v/>
      </c>
      <c r="K69" s="877"/>
      <c r="L69" s="811"/>
      <c r="M69" s="811"/>
      <c r="N69" s="618"/>
      <c r="O69" s="811"/>
      <c r="P69" s="647"/>
    </row>
    <row r="70" spans="10:17">
      <c r="J70" s="890" t="str">
        <f t="shared" si="1"/>
        <v/>
      </c>
      <c r="K70" s="877"/>
      <c r="L70" s="811"/>
      <c r="M70" s="811"/>
      <c r="N70" s="618"/>
      <c r="O70" s="811"/>
      <c r="P70" s="647"/>
    </row>
    <row r="71" spans="10:17">
      <c r="J71" s="890" t="str">
        <f t="shared" si="1"/>
        <v/>
      </c>
      <c r="K71" s="877"/>
      <c r="L71" s="811"/>
      <c r="M71" s="811"/>
      <c r="N71" s="618"/>
      <c r="O71" s="811"/>
      <c r="P71" s="647"/>
    </row>
    <row r="72" spans="10:17" ht="15" thickBot="1">
      <c r="J72" s="891" t="str">
        <f>IF(J40="", "", J40)</f>
        <v/>
      </c>
      <c r="K72" s="878"/>
      <c r="L72" s="750"/>
      <c r="M72" s="750"/>
      <c r="N72" s="606"/>
      <c r="O72" s="750"/>
      <c r="P72" s="879"/>
    </row>
    <row r="73" spans="10:17">
      <c r="K73" s="289" t="str">
        <f>IF(SUM(K63:K72)&lt;&gt;1,"Total percentage must equal 100%.","")</f>
        <v>Total percentage must equal 100%.</v>
      </c>
      <c r="N73" s="289" t="str">
        <f>IF(SUM(N63:N72)&lt;&gt;1,"Total percentage must equal 100%.","")</f>
        <v>Total percentage must equal 100%.</v>
      </c>
    </row>
    <row r="74" spans="10:17" ht="15" thickBot="1"/>
    <row r="75" spans="10:17" ht="18" customHeight="1">
      <c r="J75" s="1168" t="s">
        <v>258</v>
      </c>
      <c r="K75" s="1374"/>
      <c r="L75" s="1374"/>
      <c r="M75" s="1374"/>
      <c r="N75" s="1375"/>
    </row>
    <row r="76" spans="10:17">
      <c r="J76" s="1145" t="s">
        <v>234</v>
      </c>
      <c r="K76" s="1146"/>
      <c r="L76" s="1146"/>
      <c r="M76" s="1146"/>
      <c r="N76" s="1147"/>
    </row>
    <row r="77" spans="10:17">
      <c r="J77" s="880"/>
      <c r="K77" s="1409" t="s">
        <v>85</v>
      </c>
      <c r="L77" s="1409"/>
      <c r="M77" s="1409" t="s">
        <v>86</v>
      </c>
      <c r="N77" s="1410"/>
    </row>
    <row r="78" spans="10:17">
      <c r="J78" s="836"/>
      <c r="K78" s="837" t="s">
        <v>82</v>
      </c>
      <c r="L78" s="881" t="s">
        <v>139</v>
      </c>
      <c r="M78" s="881" t="s">
        <v>82</v>
      </c>
      <c r="N78" s="882" t="s">
        <v>139</v>
      </c>
      <c r="Q78" s="665"/>
    </row>
    <row r="79" spans="10:17">
      <c r="J79" s="841" t="s">
        <v>246</v>
      </c>
      <c r="K79" s="883"/>
      <c r="L79" s="883"/>
      <c r="M79" s="883"/>
      <c r="N79" s="884"/>
      <c r="Q79" s="665"/>
    </row>
    <row r="80" spans="10:17">
      <c r="J80" s="885" t="s">
        <v>216</v>
      </c>
      <c r="K80" s="616"/>
      <c r="L80" s="886"/>
      <c r="M80" s="618"/>
      <c r="N80" s="591"/>
      <c r="Q80" s="793"/>
    </row>
    <row r="81" spans="10:17">
      <c r="J81" s="613" t="s">
        <v>217</v>
      </c>
      <c r="K81" s="746"/>
      <c r="L81" s="747"/>
      <c r="M81" s="618"/>
      <c r="N81" s="591"/>
      <c r="Q81" s="793"/>
    </row>
    <row r="82" spans="10:17">
      <c r="J82" s="841" t="s">
        <v>247</v>
      </c>
      <c r="K82" s="883"/>
      <c r="L82" s="883"/>
      <c r="M82" s="883"/>
      <c r="N82" s="884"/>
      <c r="Q82" s="887"/>
    </row>
    <row r="83" spans="10:17">
      <c r="J83" s="885" t="s">
        <v>216</v>
      </c>
      <c r="K83" s="616"/>
      <c r="L83" s="886"/>
      <c r="M83" s="618"/>
      <c r="N83" s="591"/>
      <c r="Q83" s="887"/>
    </row>
    <row r="84" spans="10:17">
      <c r="J84" s="613" t="s">
        <v>217</v>
      </c>
      <c r="K84" s="746"/>
      <c r="L84" s="747"/>
      <c r="M84" s="618"/>
      <c r="N84" s="591"/>
      <c r="Q84" s="665"/>
    </row>
    <row r="85" spans="10:17">
      <c r="J85" s="841" t="s">
        <v>248</v>
      </c>
      <c r="K85" s="842"/>
      <c r="L85" s="842"/>
      <c r="M85" s="842"/>
      <c r="N85" s="844"/>
      <c r="Q85" s="665"/>
    </row>
    <row r="86" spans="10:17">
      <c r="J86" s="651" t="s">
        <v>216</v>
      </c>
      <c r="K86" s="616"/>
      <c r="L86" s="886"/>
      <c r="M86" s="618"/>
      <c r="N86" s="591"/>
      <c r="Q86" s="665"/>
    </row>
    <row r="87" spans="10:17" ht="15" thickBot="1">
      <c r="J87" s="679" t="s">
        <v>217</v>
      </c>
      <c r="K87" s="606"/>
      <c r="L87" s="594"/>
      <c r="M87" s="606"/>
      <c r="N87" s="595"/>
      <c r="Q87" s="727"/>
    </row>
    <row r="88" spans="10:17">
      <c r="N88" s="665"/>
      <c r="O88" s="665"/>
      <c r="Q88" s="632"/>
    </row>
    <row r="89" spans="10:17">
      <c r="Q89" s="632"/>
    </row>
    <row r="90" spans="10:17">
      <c r="Q90" s="632"/>
    </row>
    <row r="91" spans="10:17">
      <c r="Q91" s="632"/>
    </row>
    <row r="92" spans="10:17">
      <c r="Q92" s="632"/>
    </row>
    <row r="93" spans="10:17">
      <c r="Q93" s="632"/>
    </row>
    <row r="94" spans="10:17">
      <c r="Q94" s="632"/>
    </row>
    <row r="95" spans="10:17">
      <c r="Q95" s="632"/>
    </row>
    <row r="96" spans="10:17">
      <c r="Q96" s="632"/>
    </row>
    <row r="97" spans="17:17">
      <c r="Q97" s="632"/>
    </row>
    <row r="98" spans="17:17">
      <c r="Q98" s="632"/>
    </row>
    <row r="99" spans="17:17">
      <c r="Q99" s="632"/>
    </row>
    <row r="100" spans="17:17">
      <c r="Q100" s="632"/>
    </row>
    <row r="101" spans="17:17">
      <c r="Q101" s="632"/>
    </row>
    <row r="102" spans="17:17">
      <c r="Q102" s="632"/>
    </row>
    <row r="103" spans="17:17">
      <c r="Q103" s="632"/>
    </row>
    <row r="104" spans="17:17">
      <c r="Q104" s="632"/>
    </row>
    <row r="105" spans="17:17">
      <c r="Q105" s="632"/>
    </row>
    <row r="106" spans="17:17">
      <c r="Q106" s="632"/>
    </row>
    <row r="107" spans="17:17">
      <c r="Q107" s="632"/>
    </row>
    <row r="108" spans="17:17">
      <c r="Q108" s="632"/>
    </row>
    <row r="109" spans="17:17">
      <c r="Q109" s="632"/>
    </row>
    <row r="110" spans="17:17">
      <c r="Q110" s="632"/>
    </row>
    <row r="111" spans="17:17">
      <c r="Q111" s="632"/>
    </row>
    <row r="112" spans="17:17">
      <c r="Q112" s="632"/>
    </row>
    <row r="113" spans="17:17">
      <c r="Q113" s="632"/>
    </row>
    <row r="114" spans="17:17">
      <c r="Q114" s="632"/>
    </row>
    <row r="115" spans="17:17">
      <c r="Q115" s="632"/>
    </row>
    <row r="116" spans="17:17">
      <c r="Q116" s="632"/>
    </row>
    <row r="117" spans="17:17">
      <c r="Q117" s="632"/>
    </row>
    <row r="118" spans="17:17">
      <c r="Q118" s="632"/>
    </row>
    <row r="119" spans="17:17">
      <c r="Q119" s="793"/>
    </row>
    <row r="137" spans="11:16">
      <c r="K137" s="596" t="str">
        <f>IF(SUM(K63:K72)&lt;&gt;1,"Total percentage must equal 100%.","")</f>
        <v>Total percentage must equal 100%.</v>
      </c>
      <c r="N137" s="596" t="str">
        <f>IF(SUM(N63:N72)&lt;&gt;1,"Total percentage must equal 100%.","")</f>
        <v>Total percentage must equal 100%.</v>
      </c>
      <c r="P137" s="632"/>
    </row>
    <row r="138" spans="11:16">
      <c r="P138" s="632"/>
    </row>
    <row r="139" spans="11:16">
      <c r="P139" s="632"/>
    </row>
    <row r="140" spans="11:16">
      <c r="P140" s="632"/>
    </row>
    <row r="141" spans="11:16">
      <c r="P141" s="632"/>
    </row>
    <row r="142" spans="11:16">
      <c r="P142" s="632"/>
    </row>
    <row r="143" spans="11:16">
      <c r="P143" s="632"/>
    </row>
    <row r="144" spans="11:16">
      <c r="P144" s="632"/>
    </row>
    <row r="145" spans="16:16">
      <c r="P145" s="632"/>
    </row>
    <row r="146" spans="16:16">
      <c r="P146" s="632"/>
    </row>
    <row r="147" spans="16:16">
      <c r="P147" s="632"/>
    </row>
    <row r="148" spans="16:16">
      <c r="P148" s="632"/>
    </row>
    <row r="149" spans="16:16">
      <c r="P149" s="632"/>
    </row>
    <row r="150" spans="16:16">
      <c r="P150" s="632"/>
    </row>
    <row r="151" spans="16:16">
      <c r="P151" s="632"/>
    </row>
    <row r="152" spans="16:16">
      <c r="P152" s="632"/>
    </row>
    <row r="153" spans="16:16">
      <c r="P153" s="793"/>
    </row>
    <row r="161" spans="13:15">
      <c r="M161" s="713"/>
      <c r="N161" s="632"/>
      <c r="O161" s="632"/>
    </row>
    <row r="162" spans="13:15">
      <c r="M162" s="713"/>
      <c r="N162" s="632"/>
      <c r="O162" s="632"/>
    </row>
    <row r="163" spans="13:15">
      <c r="M163" s="713"/>
      <c r="N163" s="632"/>
      <c r="O163" s="632"/>
    </row>
    <row r="164" spans="13:15">
      <c r="M164" s="713"/>
      <c r="N164" s="632"/>
      <c r="O164" s="632"/>
    </row>
    <row r="165" spans="13:15">
      <c r="M165" s="713"/>
      <c r="N165" s="632"/>
      <c r="O165" s="632"/>
    </row>
    <row r="166" spans="13:15">
      <c r="N166" s="632"/>
      <c r="O166" s="632"/>
    </row>
    <row r="167" spans="13:15">
      <c r="N167" s="632"/>
      <c r="O167" s="632"/>
    </row>
    <row r="168" spans="13:15">
      <c r="N168" s="632"/>
      <c r="O168" s="632"/>
    </row>
    <row r="169" spans="13:15">
      <c r="N169" s="632"/>
      <c r="O169" s="632"/>
    </row>
    <row r="170" spans="13:15">
      <c r="N170" s="632"/>
      <c r="O170" s="632"/>
    </row>
    <row r="171" spans="13:15">
      <c r="N171" s="793"/>
      <c r="O171" s="793"/>
    </row>
  </sheetData>
  <sheetProtection algorithmName="SHA-512" hashValue="b+QYbK2szHpjv3hALoITobhaYGec6l+bb9YxAtHsmpldAFaPAXa+N41bZrDuXUDCuYfdTXOBwvvzsBD3Gq51mA==" saltValue="yIwoXvI4RQIotvrBICAmIA==" spinCount="100000" sheet="1" objects="1" scenarios="1"/>
  <mergeCells count="71">
    <mergeCell ref="C16:D16"/>
    <mergeCell ref="E16:F16"/>
    <mergeCell ref="B45:C45"/>
    <mergeCell ref="D45:E45"/>
    <mergeCell ref="B37:E37"/>
    <mergeCell ref="B43:C43"/>
    <mergeCell ref="B38:E42"/>
    <mergeCell ref="B24:F24"/>
    <mergeCell ref="B44:C44"/>
    <mergeCell ref="E22:F22"/>
    <mergeCell ref="B22:D22"/>
    <mergeCell ref="E17:F17"/>
    <mergeCell ref="C18:D18"/>
    <mergeCell ref="B25:F25"/>
    <mergeCell ref="B30:F30"/>
    <mergeCell ref="B33:F33"/>
    <mergeCell ref="J2:L2"/>
    <mergeCell ref="B14:F14"/>
    <mergeCell ref="B15:F15"/>
    <mergeCell ref="B9:F9"/>
    <mergeCell ref="B10:F10"/>
    <mergeCell ref="J3:L6"/>
    <mergeCell ref="B11:C11"/>
    <mergeCell ref="B12:C12"/>
    <mergeCell ref="D12:E12"/>
    <mergeCell ref="D11:E11"/>
    <mergeCell ref="T2:W2"/>
    <mergeCell ref="T3:W6"/>
    <mergeCell ref="E18:F18"/>
    <mergeCell ref="E26:F26"/>
    <mergeCell ref="C28:D28"/>
    <mergeCell ref="E28:F28"/>
    <mergeCell ref="C19:D19"/>
    <mergeCell ref="E19:F19"/>
    <mergeCell ref="C20:D20"/>
    <mergeCell ref="E20:F20"/>
    <mergeCell ref="C21:D21"/>
    <mergeCell ref="E21:F21"/>
    <mergeCell ref="L7:O7"/>
    <mergeCell ref="B2:F2"/>
    <mergeCell ref="B3:F6"/>
    <mergeCell ref="C17:D17"/>
    <mergeCell ref="C27:D27"/>
    <mergeCell ref="E27:F27"/>
    <mergeCell ref="C26:D26"/>
    <mergeCell ref="K77:L77"/>
    <mergeCell ref="M77:N77"/>
    <mergeCell ref="J76:N76"/>
    <mergeCell ref="J75:N75"/>
    <mergeCell ref="J42:P42"/>
    <mergeCell ref="J44:P44"/>
    <mergeCell ref="J45:J46"/>
    <mergeCell ref="K45:M45"/>
    <mergeCell ref="N45:P45"/>
    <mergeCell ref="J58:P58"/>
    <mergeCell ref="J60:P60"/>
    <mergeCell ref="J61:J62"/>
    <mergeCell ref="K61:M61"/>
    <mergeCell ref="N61:P61"/>
    <mergeCell ref="T24:U24"/>
    <mergeCell ref="J26:P26"/>
    <mergeCell ref="J28:P28"/>
    <mergeCell ref="J29:J30"/>
    <mergeCell ref="K29:M29"/>
    <mergeCell ref="N29:P29"/>
    <mergeCell ref="T22:V22"/>
    <mergeCell ref="T9:W9"/>
    <mergeCell ref="T10:W10"/>
    <mergeCell ref="J22:M22"/>
    <mergeCell ref="J9:M9"/>
    <mergeCell ref="J10:M10"/>
  </mergeCells>
  <conditionalFormatting sqref="K7">
    <cfRule type="cellIs" dxfId="22" priority="8" operator="equal">
      <formula>"Basic"</formula>
    </cfRule>
    <cfRule type="cellIs" dxfId="21" priority="9" operator="equal">
      <formula>"Advanced"</formula>
    </cfRule>
    <cfRule type="cellIs" dxfId="20" priority="12" operator="equal">
      <formula>"Advanced"</formula>
    </cfRule>
    <cfRule type="cellIs" dxfId="19" priority="13" operator="equal">
      <formula>"Basic"</formula>
    </cfRule>
    <cfRule type="cellIs" dxfId="18" priority="14" operator="equal">
      <formula>"""Basic"""</formula>
    </cfRule>
  </conditionalFormatting>
  <conditionalFormatting sqref="L7">
    <cfRule type="cellIs" dxfId="17" priority="1" operator="equal">
      <formula>"ERROR: Ensure 'Advanced' is selected in the INSTRUCTIONS tab if using this tab for principal inputs"</formula>
    </cfRule>
    <cfRule type="cellIs" dxfId="16" priority="2" operator="equal">
      <formula>"""ERROR: Ensure 'Advanced' is selected in the INSTRUCTIONS tab if using this tab for principal inputs"</formula>
    </cfRule>
  </conditionalFormatting>
  <dataValidations count="6">
    <dataValidation allowBlank="1" showInputMessage="1" showErrorMessage="1" prompt="Increasing average salary in your new compensation system represents an across-the board salary increase." sqref="M13" xr:uid="{D71F3C14-EF99-45A0-9A7B-0BA7F0DF2FFE}"/>
    <dataValidation allowBlank="1" showInputMessage="1" showErrorMessage="1" prompt="This percentage should include all benefits costs (e.g. healthcare, retirement, FICA). " sqref="M23" xr:uid="{8E1B7A84-C033-4D75-9D31-08C2D98727D9}"/>
    <dataValidation allowBlank="1" showInputMessage="1" showErrorMessage="1" prompt="This percentage should include only the aspects of benefits that are applied to stipends (typically a smaller percentage than the benefits rate applied to salary)." sqref="M24" xr:uid="{5A0E64D6-B88C-4880-A9D5-5EDB3CB46150}"/>
    <dataValidation allowBlank="1" showInputMessage="1" showErrorMessage="1" prompt="Categories must be entered from least effective to most effective. This cell should contain the category describing your least school leaders." sqref="J31" xr:uid="{6754791C-51FC-47FA-B302-01F47B09DA8D}"/>
    <dataValidation allowBlank="1" showInputMessage="1" showErrorMessage="1" prompt="Enter the percent you expect all principal and assistant principal salaries to increase each year. This could be due to inflation-based salary adjustments or board-approved pay increases, for example." sqref="V24" xr:uid="{9EBED180-A5D8-4B20-BFF7-CAF5307C3E34}"/>
    <dataValidation allowBlank="1" showInputMessage="1" showErrorMessage="1" prompt="Enter the percent increase in benefits costs that you anticipate each year." sqref="V23" xr:uid="{5EBA4C31-74AA-4B59-A19F-D873E8D9A5B7}"/>
  </dataValidations>
  <hyperlinks>
    <hyperlink ref="N3" location="'Advanced - Principals and APs'!J9" display="1. Salary and FTE" xr:uid="{F9EF82D0-A647-4EA1-BFB7-53A32A6037C4}"/>
    <hyperlink ref="N4" location="'Advanced - Principals and APs'!J22" display="2. Benefits" xr:uid="{672D3432-8493-4FB7-B730-271291D0301F}"/>
    <hyperlink ref="N5" location="'Advanced - Principals and APs'!J26" display="3. Effectiveness" xr:uid="{7A4946CA-775A-47EE-9907-67EF7D30383D}"/>
    <hyperlink ref="N6" location="'Advanced - Principals and APs'!J75" display="4. Critical Needs Areas" xr:uid="{D2F2C122-1D2D-4006-BD9A-0009402B57C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91248-3418-4A03-8BDD-A842E8499CC5}">
  <sheetPr codeName="Sheet7">
    <tabColor theme="1"/>
  </sheetPr>
  <dimension ref="B2:AU108"/>
  <sheetViews>
    <sheetView topLeftCell="F28" workbookViewId="0">
      <selection activeCell="N38" sqref="N38"/>
    </sheetView>
  </sheetViews>
  <sheetFormatPr defaultRowHeight="14.45"/>
  <cols>
    <col min="1" max="1" width="5.42578125" customWidth="1"/>
    <col min="2" max="2" width="12.7109375" customWidth="1"/>
    <col min="3" max="3" width="37.28515625" customWidth="1"/>
    <col min="4" max="4" width="16.85546875" customWidth="1"/>
    <col min="5" max="5" width="18.42578125" customWidth="1"/>
    <col min="6" max="7" width="15.85546875" customWidth="1"/>
    <col min="8" max="8" width="3.85546875" customWidth="1"/>
    <col min="9" max="9" width="4.42578125" style="1" customWidth="1"/>
    <col min="11" max="11" width="12.42578125" customWidth="1"/>
    <col min="12" max="12" width="59.140625" customWidth="1"/>
    <col min="13" max="13" width="19.140625" customWidth="1"/>
    <col min="14" max="15" width="15.140625" customWidth="1"/>
    <col min="16" max="16" width="10.140625" bestFit="1" customWidth="1"/>
    <col min="17" max="17" width="11.7109375" bestFit="1" customWidth="1"/>
    <col min="18" max="18" width="13.5703125" customWidth="1"/>
    <col min="19" max="19" width="11.140625" style="98" bestFit="1" customWidth="1"/>
    <col min="41" max="41" width="10.5703125" customWidth="1"/>
    <col min="42" max="43" width="13.85546875" customWidth="1"/>
    <col min="44" max="44" width="13.140625" customWidth="1"/>
    <col min="45" max="45" width="15.42578125" customWidth="1"/>
    <col min="46" max="47" width="14.140625" customWidth="1"/>
  </cols>
  <sheetData>
    <row r="2" spans="2:47" ht="26.45" thickBot="1">
      <c r="B2" s="3" t="s">
        <v>259</v>
      </c>
      <c r="K2" s="63" t="s">
        <v>260</v>
      </c>
      <c r="Q2" s="1497" t="s">
        <v>261</v>
      </c>
      <c r="R2" s="1497"/>
      <c r="S2" s="1497"/>
      <c r="U2" s="1496" t="s">
        <v>170</v>
      </c>
      <c r="V2" s="1496"/>
      <c r="W2" s="1496"/>
      <c r="Y2" s="1496" t="s">
        <v>171</v>
      </c>
      <c r="Z2" s="1496"/>
      <c r="AA2" s="1496"/>
      <c r="AC2" s="1496" t="s">
        <v>172</v>
      </c>
      <c r="AD2" s="1496"/>
      <c r="AE2" s="1496"/>
      <c r="AF2" s="1043"/>
      <c r="AG2" s="1496" t="s">
        <v>173</v>
      </c>
      <c r="AH2" s="1496"/>
      <c r="AI2" s="1496"/>
      <c r="AK2" s="1496" t="s">
        <v>174</v>
      </c>
      <c r="AL2" s="1496"/>
      <c r="AM2" s="1496"/>
    </row>
    <row r="3" spans="2:47" ht="26.45" thickBot="1">
      <c r="B3" s="3"/>
      <c r="M3" s="9" t="s">
        <v>262</v>
      </c>
      <c r="N3" s="9" t="s">
        <v>263</v>
      </c>
      <c r="Q3" s="1465" t="s">
        <v>264</v>
      </c>
      <c r="R3" s="1466"/>
      <c r="S3" s="1467"/>
      <c r="U3" s="1465" t="s">
        <v>264</v>
      </c>
      <c r="V3" s="1466"/>
      <c r="W3" s="1467"/>
      <c r="Y3" s="1465" t="s">
        <v>264</v>
      </c>
      <c r="Z3" s="1466"/>
      <c r="AA3" s="1467"/>
      <c r="AC3" s="1465" t="s">
        <v>264</v>
      </c>
      <c r="AD3" s="1466"/>
      <c r="AE3" s="1467"/>
      <c r="AG3" s="1465" t="s">
        <v>264</v>
      </c>
      <c r="AH3" s="1466"/>
      <c r="AI3" s="1467"/>
      <c r="AK3" s="1465" t="s">
        <v>264</v>
      </c>
      <c r="AL3" s="1466"/>
      <c r="AM3" s="1467"/>
      <c r="AO3" s="108"/>
      <c r="AP3" s="1448" t="s">
        <v>265</v>
      </c>
      <c r="AQ3" s="1449"/>
      <c r="AR3" s="1449"/>
      <c r="AS3" s="1449"/>
      <c r="AT3" s="1449"/>
      <c r="AU3" s="1450"/>
    </row>
    <row r="4" spans="2:47" ht="15.6" customHeight="1" thickBot="1">
      <c r="B4" s="26" t="s">
        <v>266</v>
      </c>
      <c r="C4" s="21" t="s">
        <v>267</v>
      </c>
      <c r="D4" s="52">
        <f>IF(INSTRUCTIONS!Q7="Basic", 'Basic - Teachers'!$K$10)</f>
        <v>0</v>
      </c>
      <c r="K4" s="110" t="s">
        <v>89</v>
      </c>
      <c r="L4" s="21" t="s">
        <v>268</v>
      </c>
      <c r="M4" s="29">
        <f>$D$4*$D$11</f>
        <v>0</v>
      </c>
      <c r="N4" s="175">
        <f>D16*$D$4</f>
        <v>0</v>
      </c>
      <c r="O4" s="56"/>
      <c r="Q4" s="125" t="s">
        <v>269</v>
      </c>
      <c r="R4" s="124" t="s">
        <v>85</v>
      </c>
      <c r="S4" s="210" t="s">
        <v>86</v>
      </c>
      <c r="U4" s="125" t="s">
        <v>269</v>
      </c>
      <c r="V4" s="124" t="s">
        <v>85</v>
      </c>
      <c r="W4" s="386" t="s">
        <v>86</v>
      </c>
      <c r="Y4" s="125" t="s">
        <v>269</v>
      </c>
      <c r="Z4" s="159" t="s">
        <v>85</v>
      </c>
      <c r="AA4" s="386" t="s">
        <v>86</v>
      </c>
      <c r="AC4" s="125" t="s">
        <v>269</v>
      </c>
      <c r="AD4" s="159" t="s">
        <v>85</v>
      </c>
      <c r="AE4" s="386" t="s">
        <v>86</v>
      </c>
      <c r="AG4" s="125" t="s">
        <v>269</v>
      </c>
      <c r="AH4" s="159" t="s">
        <v>85</v>
      </c>
      <c r="AI4" s="386" t="s">
        <v>86</v>
      </c>
      <c r="AK4" s="125" t="s">
        <v>269</v>
      </c>
      <c r="AL4" s="159" t="s">
        <v>85</v>
      </c>
      <c r="AM4" s="386" t="s">
        <v>86</v>
      </c>
      <c r="AO4" s="109"/>
      <c r="AP4" s="274" t="s">
        <v>270</v>
      </c>
      <c r="AQ4" s="275" t="s">
        <v>170</v>
      </c>
      <c r="AR4" s="275" t="s">
        <v>171</v>
      </c>
      <c r="AS4" s="275" t="s">
        <v>172</v>
      </c>
      <c r="AT4" s="275" t="s">
        <v>173</v>
      </c>
      <c r="AU4" s="276" t="s">
        <v>174</v>
      </c>
    </row>
    <row r="5" spans="2:47" ht="15" thickBot="1">
      <c r="K5" s="22"/>
      <c r="L5" s="22"/>
      <c r="M5" s="28"/>
      <c r="N5" s="28"/>
      <c r="O5" s="28"/>
      <c r="Q5" s="108">
        <v>0</v>
      </c>
      <c r="R5" s="169">
        <f>$D$11</f>
        <v>0</v>
      </c>
      <c r="S5" s="211">
        <f>$D$16</f>
        <v>0</v>
      </c>
      <c r="U5" s="108">
        <v>0</v>
      </c>
      <c r="V5" s="259">
        <f t="shared" ref="V5:V35" si="0">(1+$D$67)*R5</f>
        <v>0</v>
      </c>
      <c r="W5" s="259">
        <f t="shared" ref="W5:W35" si="1">(1+$D$67)*S5</f>
        <v>0</v>
      </c>
      <c r="Y5" s="108">
        <v>0</v>
      </c>
      <c r="Z5" s="1046">
        <f t="shared" ref="Z5:Z35" si="2">(1+$D$67)*V5</f>
        <v>0</v>
      </c>
      <c r="AA5" s="70">
        <f t="shared" ref="AA5:AA35" si="3">(1+$D$67)*W5</f>
        <v>0</v>
      </c>
      <c r="AC5" s="108">
        <v>0</v>
      </c>
      <c r="AD5" s="1046">
        <f>(1+$D$67)*Z5</f>
        <v>0</v>
      </c>
      <c r="AE5" s="70">
        <f>(1+$D$67)*AA5</f>
        <v>0</v>
      </c>
      <c r="AG5" s="108">
        <v>0</v>
      </c>
      <c r="AH5" s="1046">
        <f>(1+$D$67)*AD5</f>
        <v>0</v>
      </c>
      <c r="AI5" s="70">
        <f>(1+$D$67)*AE5</f>
        <v>0</v>
      </c>
      <c r="AK5" s="108">
        <v>0</v>
      </c>
      <c r="AL5" s="1046">
        <f>(1+$D$67)*AH5</f>
        <v>0</v>
      </c>
      <c r="AM5" s="70">
        <f>(1+$D$67)*AI5</f>
        <v>0</v>
      </c>
      <c r="AO5" s="152" t="s">
        <v>86</v>
      </c>
      <c r="AP5" s="517" t="e">
        <f>$N$93</f>
        <v>#DIV/0!</v>
      </c>
      <c r="AQ5" s="518" t="e">
        <f>AP5+M102</f>
        <v>#DIV/0!</v>
      </c>
      <c r="AR5" s="518" t="e">
        <f t="shared" ref="AR5:AU5" si="4">AQ5+N102</f>
        <v>#DIV/0!</v>
      </c>
      <c r="AS5" s="518" t="e">
        <f t="shared" si="4"/>
        <v>#DIV/0!</v>
      </c>
      <c r="AT5" s="518" t="e">
        <f t="shared" si="4"/>
        <v>#DIV/0!</v>
      </c>
      <c r="AU5" s="518" t="e">
        <f t="shared" si="4"/>
        <v>#DIV/0!</v>
      </c>
    </row>
    <row r="6" spans="2:47" ht="15" thickBot="1">
      <c r="B6" s="1474" t="s">
        <v>91</v>
      </c>
      <c r="C6" s="5" t="s">
        <v>87</v>
      </c>
      <c r="D6" s="13">
        <f>IF(INSTRUCTIONS!Q7="Basic", 'Basic - Teachers'!$K$15)</f>
        <v>0</v>
      </c>
      <c r="E6" s="278"/>
      <c r="F6" s="429"/>
      <c r="G6" s="429"/>
      <c r="K6" s="1459" t="e">
        <f>CONCATENATE("The average teacher in the ", M7,"-",M9," experience band makes $",M10," due to experience raises")</f>
        <v>#DIV/0!</v>
      </c>
      <c r="L6" s="1460"/>
      <c r="M6" s="1460"/>
      <c r="N6" s="1461"/>
      <c r="O6" s="75"/>
      <c r="Q6" s="4">
        <v>1</v>
      </c>
      <c r="R6" s="169" t="e">
        <f>IF(Q6&lt;=$M$9, $R$5+(Q6*$D$12), R5)</f>
        <v>#DIV/0!</v>
      </c>
      <c r="S6" s="212" t="e">
        <f>IF(Q6&lt;=$N$9, $S$5+(Q6*$D$18), S5)</f>
        <v>#DIV/0!</v>
      </c>
      <c r="U6" s="4">
        <v>1</v>
      </c>
      <c r="V6" s="259" t="e">
        <f t="shared" si="0"/>
        <v>#DIV/0!</v>
      </c>
      <c r="W6" s="259" t="e">
        <f t="shared" si="1"/>
        <v>#DIV/0!</v>
      </c>
      <c r="Y6" s="4">
        <v>1</v>
      </c>
      <c r="Z6" s="1047" t="e">
        <f t="shared" si="2"/>
        <v>#DIV/0!</v>
      </c>
      <c r="AA6" s="169" t="e">
        <f t="shared" si="3"/>
        <v>#DIV/0!</v>
      </c>
      <c r="AC6" s="4">
        <v>1</v>
      </c>
      <c r="AD6" s="1047" t="e">
        <f t="shared" ref="AD6:AD35" si="5">(1+$D$67)*Z6</f>
        <v>#DIV/0!</v>
      </c>
      <c r="AE6" s="169" t="e">
        <f t="shared" ref="AE6:AE35" si="6">(1+$D$67)*AA6</f>
        <v>#DIV/0!</v>
      </c>
      <c r="AG6" s="4">
        <v>1</v>
      </c>
      <c r="AH6" s="1047" t="e">
        <f t="shared" ref="AH6:AH35" si="7">(1+$D$67)*AD6</f>
        <v>#DIV/0!</v>
      </c>
      <c r="AI6" s="169" t="e">
        <f t="shared" ref="AI6:AI35" si="8">(1+$D$67)*AE6</f>
        <v>#DIV/0!</v>
      </c>
      <c r="AK6" s="4">
        <v>1</v>
      </c>
      <c r="AL6" s="1047" t="e">
        <f t="shared" ref="AL6:AL35" si="9">(1+$D$67)*AH6</f>
        <v>#DIV/0!</v>
      </c>
      <c r="AM6" s="169" t="e">
        <f t="shared" ref="AM6:AM35" si="10">(1+$D$67)*AI6</f>
        <v>#DIV/0!</v>
      </c>
      <c r="AO6" s="90" t="s">
        <v>85</v>
      </c>
      <c r="AP6" s="376" t="e">
        <f>M93</f>
        <v>#DIV/0!</v>
      </c>
      <c r="AQ6" s="367" t="e">
        <f>AP6+M108</f>
        <v>#DIV/0!</v>
      </c>
      <c r="AR6" s="367" t="e">
        <f t="shared" ref="AR6:AU6" si="11">AQ6+N108</f>
        <v>#DIV/0!</v>
      </c>
      <c r="AS6" s="367" t="e">
        <f t="shared" si="11"/>
        <v>#DIV/0!</v>
      </c>
      <c r="AT6" s="367" t="e">
        <f t="shared" si="11"/>
        <v>#DIV/0!</v>
      </c>
      <c r="AU6" s="367" t="e">
        <f t="shared" si="11"/>
        <v>#DIV/0!</v>
      </c>
    </row>
    <row r="7" spans="2:47" ht="14.45" customHeight="1">
      <c r="B7" s="1475"/>
      <c r="C7" s="4" t="s">
        <v>90</v>
      </c>
      <c r="D7" s="117">
        <f>IF(INSTRUCTIONS!Q7="Basic", 'Basic - Teachers'!$K$16)</f>
        <v>0</v>
      </c>
      <c r="E7" s="278"/>
      <c r="F7" s="98"/>
      <c r="G7" s="98"/>
      <c r="K7" s="1451" t="s">
        <v>271</v>
      </c>
      <c r="L7" s="58" t="s">
        <v>272</v>
      </c>
      <c r="M7" s="59" t="e">
        <f>M16+1</f>
        <v>#DIV/0!</v>
      </c>
      <c r="N7" s="59" t="e">
        <f>N16+1</f>
        <v>#DIV/0!</v>
      </c>
      <c r="O7" s="176"/>
      <c r="Q7" s="4">
        <v>2</v>
      </c>
      <c r="R7" s="169" t="e">
        <f t="shared" ref="R7:R35" si="12">IF(Q7&lt;=$M$9, $R$5+(Q7*$D$12), R6)</f>
        <v>#DIV/0!</v>
      </c>
      <c r="S7" s="212" t="e">
        <f>IF(Q7&lt;=$N$9, $S$5+(Q7*$D$18), S6)</f>
        <v>#DIV/0!</v>
      </c>
      <c r="U7" s="4">
        <v>2</v>
      </c>
      <c r="V7" s="259" t="e">
        <f t="shared" si="0"/>
        <v>#DIV/0!</v>
      </c>
      <c r="W7" s="259" t="e">
        <f t="shared" si="1"/>
        <v>#DIV/0!</v>
      </c>
      <c r="Y7" s="4">
        <v>2</v>
      </c>
      <c r="Z7" s="1047" t="e">
        <f t="shared" si="2"/>
        <v>#DIV/0!</v>
      </c>
      <c r="AA7" s="169" t="e">
        <f t="shared" si="3"/>
        <v>#DIV/0!</v>
      </c>
      <c r="AC7" s="4">
        <v>2</v>
      </c>
      <c r="AD7" s="1047" t="e">
        <f t="shared" si="5"/>
        <v>#DIV/0!</v>
      </c>
      <c r="AE7" s="169" t="e">
        <f t="shared" si="6"/>
        <v>#DIV/0!</v>
      </c>
      <c r="AG7" s="4">
        <v>2</v>
      </c>
      <c r="AH7" s="1047" t="e">
        <f t="shared" si="7"/>
        <v>#DIV/0!</v>
      </c>
      <c r="AI7" s="169" t="e">
        <f t="shared" si="8"/>
        <v>#DIV/0!</v>
      </c>
      <c r="AK7" s="4">
        <v>2</v>
      </c>
      <c r="AL7" s="1047" t="e">
        <f t="shared" si="9"/>
        <v>#DIV/0!</v>
      </c>
      <c r="AM7" s="169" t="e">
        <f t="shared" si="10"/>
        <v>#DIV/0!</v>
      </c>
    </row>
    <row r="8" spans="2:47" ht="15" thickBot="1">
      <c r="B8" s="1476"/>
      <c r="C8" s="6" t="s">
        <v>92</v>
      </c>
      <c r="D8" s="14">
        <f>IF(INSTRUCTIONS!Q7="Basic", 'Basic - Teachers'!$K$17)</f>
        <v>0</v>
      </c>
      <c r="E8" s="278"/>
      <c r="F8" s="430"/>
      <c r="G8" s="430"/>
      <c r="K8" s="1452"/>
      <c r="L8" s="24" t="s">
        <v>273</v>
      </c>
      <c r="M8" s="51">
        <f>IF($D$13-$D$11&gt;0,$D$13-$D$11,0)</f>
        <v>0</v>
      </c>
      <c r="N8" s="51">
        <f>IF($D$17-$D$16&gt;0,$D$17-$D$16,0)</f>
        <v>0</v>
      </c>
      <c r="O8" s="56"/>
      <c r="Q8" s="4">
        <v>3</v>
      </c>
      <c r="R8" s="169" t="e">
        <f t="shared" si="12"/>
        <v>#DIV/0!</v>
      </c>
      <c r="S8" s="212" t="e">
        <f>IF(Q8&lt;=$N$9, $S$5+(Q8*$D$18), S7)</f>
        <v>#DIV/0!</v>
      </c>
      <c r="U8" s="4">
        <v>3</v>
      </c>
      <c r="V8" s="259" t="e">
        <f t="shared" si="0"/>
        <v>#DIV/0!</v>
      </c>
      <c r="W8" s="259" t="e">
        <f t="shared" si="1"/>
        <v>#DIV/0!</v>
      </c>
      <c r="Y8" s="4">
        <v>3</v>
      </c>
      <c r="Z8" s="1047" t="e">
        <f t="shared" si="2"/>
        <v>#DIV/0!</v>
      </c>
      <c r="AA8" s="169" t="e">
        <f t="shared" si="3"/>
        <v>#DIV/0!</v>
      </c>
      <c r="AC8" s="4">
        <v>3</v>
      </c>
      <c r="AD8" s="1047" t="e">
        <f t="shared" si="5"/>
        <v>#DIV/0!</v>
      </c>
      <c r="AE8" s="169" t="e">
        <f t="shared" si="6"/>
        <v>#DIV/0!</v>
      </c>
      <c r="AG8" s="4">
        <v>3</v>
      </c>
      <c r="AH8" s="1047" t="e">
        <f t="shared" si="7"/>
        <v>#DIV/0!</v>
      </c>
      <c r="AI8" s="169" t="e">
        <f t="shared" si="8"/>
        <v>#DIV/0!</v>
      </c>
      <c r="AK8" s="4">
        <v>3</v>
      </c>
      <c r="AL8" s="1047" t="e">
        <f t="shared" si="9"/>
        <v>#DIV/0!</v>
      </c>
      <c r="AM8" s="169" t="e">
        <f t="shared" si="10"/>
        <v>#DIV/0!</v>
      </c>
    </row>
    <row r="9" spans="2:47">
      <c r="B9" s="121"/>
      <c r="C9" s="20"/>
      <c r="D9" s="114"/>
      <c r="K9" s="1452"/>
      <c r="L9" s="24" t="s">
        <v>274</v>
      </c>
      <c r="M9" s="49" t="e">
        <f>M8/$D$12</f>
        <v>#DIV/0!</v>
      </c>
      <c r="N9" s="49" t="e">
        <f>IF((D17 - D16) &lt;= 4 * D18,
   (D17 - D16) / D18,
   IF((D17 - (D16 + 4 * D18)) &lt;= 11 * D19,
      4 + (D17 - (D16 + 4 * D18)) / D19,
      15 + (D17 - (D16 + 4 * D18 + 11 * D19)) / D20
   )
)</f>
        <v>#DIV/0!</v>
      </c>
      <c r="O9" s="28"/>
      <c r="Q9" s="4">
        <v>4</v>
      </c>
      <c r="R9" s="169" t="e">
        <f t="shared" si="12"/>
        <v>#DIV/0!</v>
      </c>
      <c r="S9" s="212" t="e">
        <f>IF(Q9&lt;=$N$9, $S$5+(Q9*$D$18), S8)</f>
        <v>#DIV/0!</v>
      </c>
      <c r="U9" s="4">
        <v>4</v>
      </c>
      <c r="V9" s="259" t="e">
        <f t="shared" si="0"/>
        <v>#DIV/0!</v>
      </c>
      <c r="W9" s="259" t="e">
        <f t="shared" si="1"/>
        <v>#DIV/0!</v>
      </c>
      <c r="Y9" s="4">
        <v>4</v>
      </c>
      <c r="Z9" s="1047" t="e">
        <f t="shared" si="2"/>
        <v>#DIV/0!</v>
      </c>
      <c r="AA9" s="169" t="e">
        <f t="shared" si="3"/>
        <v>#DIV/0!</v>
      </c>
      <c r="AC9" s="4">
        <v>4</v>
      </c>
      <c r="AD9" s="1047" t="e">
        <f t="shared" si="5"/>
        <v>#DIV/0!</v>
      </c>
      <c r="AE9" s="169" t="e">
        <f t="shared" si="6"/>
        <v>#DIV/0!</v>
      </c>
      <c r="AG9" s="4">
        <v>4</v>
      </c>
      <c r="AH9" s="1047" t="e">
        <f t="shared" si="7"/>
        <v>#DIV/0!</v>
      </c>
      <c r="AI9" s="169" t="e">
        <f t="shared" si="8"/>
        <v>#DIV/0!</v>
      </c>
      <c r="AK9" s="4">
        <v>4</v>
      </c>
      <c r="AL9" s="1047" t="e">
        <f t="shared" si="9"/>
        <v>#DIV/0!</v>
      </c>
      <c r="AM9" s="169" t="e">
        <f t="shared" si="10"/>
        <v>#DIV/0!</v>
      </c>
    </row>
    <row r="10" spans="2:47" ht="15" thickBot="1">
      <c r="D10" s="9"/>
      <c r="E10" s="9"/>
      <c r="K10" s="1452"/>
      <c r="L10" s="24" t="s">
        <v>275</v>
      </c>
      <c r="M10" s="50" t="e">
        <f>IF(M9&lt;M7,M9*$D$12,AVERAGE(M7, M9)*$D$12)</f>
        <v>#DIV/0!</v>
      </c>
      <c r="N10" s="50" t="e">
        <f>IF(N9&gt;N7,(AVERAGE(N9,N7)-N16)*$D$20+N20,N20)</f>
        <v>#DIV/0!</v>
      </c>
      <c r="O10" s="33"/>
      <c r="Q10" s="4">
        <v>5</v>
      </c>
      <c r="R10" s="169" t="e">
        <f t="shared" si="12"/>
        <v>#DIV/0!</v>
      </c>
      <c r="S10" s="212" t="e">
        <f>IF(Q10&lt;=$N$9, S9+($D$19), S9)</f>
        <v>#DIV/0!</v>
      </c>
      <c r="U10" s="4">
        <v>5</v>
      </c>
      <c r="V10" s="259" t="e">
        <f t="shared" si="0"/>
        <v>#DIV/0!</v>
      </c>
      <c r="W10" s="259" t="e">
        <f t="shared" si="1"/>
        <v>#DIV/0!</v>
      </c>
      <c r="Y10" s="4">
        <v>5</v>
      </c>
      <c r="Z10" s="1047" t="e">
        <f t="shared" si="2"/>
        <v>#DIV/0!</v>
      </c>
      <c r="AA10" s="169" t="e">
        <f t="shared" si="3"/>
        <v>#DIV/0!</v>
      </c>
      <c r="AC10" s="4">
        <v>5</v>
      </c>
      <c r="AD10" s="1047" t="e">
        <f t="shared" si="5"/>
        <v>#DIV/0!</v>
      </c>
      <c r="AE10" s="169" t="e">
        <f t="shared" si="6"/>
        <v>#DIV/0!</v>
      </c>
      <c r="AG10" s="4">
        <v>5</v>
      </c>
      <c r="AH10" s="1047" t="e">
        <f t="shared" si="7"/>
        <v>#DIV/0!</v>
      </c>
      <c r="AI10" s="169" t="e">
        <f t="shared" si="8"/>
        <v>#DIV/0!</v>
      </c>
      <c r="AK10" s="4">
        <v>5</v>
      </c>
      <c r="AL10" s="1047" t="e">
        <f t="shared" si="9"/>
        <v>#DIV/0!</v>
      </c>
      <c r="AM10" s="169" t="e">
        <f t="shared" si="10"/>
        <v>#DIV/0!</v>
      </c>
    </row>
    <row r="11" spans="2:47" ht="43.5">
      <c r="B11" s="1451" t="s">
        <v>276</v>
      </c>
      <c r="C11" s="5" t="s">
        <v>277</v>
      </c>
      <c r="D11" s="130">
        <f>IF(INSTRUCTIONS!Q7="Basic", 'Basic - Teachers'!$K$30)</f>
        <v>0</v>
      </c>
      <c r="E11" s="278"/>
      <c r="K11" s="1452"/>
      <c r="L11" s="24" t="s">
        <v>278</v>
      </c>
      <c r="M11" s="113">
        <f>$D$4*$D$8</f>
        <v>0</v>
      </c>
      <c r="N11" s="113">
        <f>$D$8*$D$4</f>
        <v>0</v>
      </c>
      <c r="O11" s="177"/>
      <c r="Q11" s="4">
        <v>6</v>
      </c>
      <c r="R11" s="169" t="e">
        <f t="shared" si="12"/>
        <v>#DIV/0!</v>
      </c>
      <c r="S11" s="212" t="e">
        <f t="shared" ref="S11:S20" si="13">IF(Q11&lt;=$N$9, S10+($D$19), S10)</f>
        <v>#DIV/0!</v>
      </c>
      <c r="U11" s="4">
        <v>6</v>
      </c>
      <c r="V11" s="259" t="e">
        <f t="shared" si="0"/>
        <v>#DIV/0!</v>
      </c>
      <c r="W11" s="259" t="e">
        <f t="shared" si="1"/>
        <v>#DIV/0!</v>
      </c>
      <c r="Y11" s="4">
        <v>6</v>
      </c>
      <c r="Z11" s="1047" t="e">
        <f t="shared" si="2"/>
        <v>#DIV/0!</v>
      </c>
      <c r="AA11" s="169" t="e">
        <f t="shared" si="3"/>
        <v>#DIV/0!</v>
      </c>
      <c r="AC11" s="4">
        <v>6</v>
      </c>
      <c r="AD11" s="1047" t="e">
        <f t="shared" si="5"/>
        <v>#DIV/0!</v>
      </c>
      <c r="AE11" s="169" t="e">
        <f t="shared" si="6"/>
        <v>#DIV/0!</v>
      </c>
      <c r="AG11" s="4">
        <v>6</v>
      </c>
      <c r="AH11" s="1047" t="e">
        <f t="shared" si="7"/>
        <v>#DIV/0!</v>
      </c>
      <c r="AI11" s="169" t="e">
        <f t="shared" si="8"/>
        <v>#DIV/0!</v>
      </c>
      <c r="AK11" s="4">
        <v>6</v>
      </c>
      <c r="AL11" s="1047" t="e">
        <f t="shared" si="9"/>
        <v>#DIV/0!</v>
      </c>
      <c r="AM11" s="169" t="e">
        <f t="shared" si="10"/>
        <v>#DIV/0!</v>
      </c>
    </row>
    <row r="12" spans="2:47" ht="29.45" thickBot="1">
      <c r="B12" s="1452"/>
      <c r="C12" s="7" t="s">
        <v>279</v>
      </c>
      <c r="D12" s="131">
        <f>IF(INSTRUCTIONS!Q7="Basic", 'Basic - Teachers'!$K$32)</f>
        <v>0</v>
      </c>
      <c r="E12" s="278"/>
      <c r="K12" s="1458"/>
      <c r="L12" s="57" t="s">
        <v>280</v>
      </c>
      <c r="M12" s="39" t="e">
        <f>M10*M11</f>
        <v>#DIV/0!</v>
      </c>
      <c r="N12" s="39" t="e">
        <f>N11*N10</f>
        <v>#DIV/0!</v>
      </c>
      <c r="O12" s="56"/>
      <c r="Q12" s="4">
        <v>7</v>
      </c>
      <c r="R12" s="169" t="e">
        <f t="shared" si="12"/>
        <v>#DIV/0!</v>
      </c>
      <c r="S12" s="212" t="e">
        <f t="shared" si="13"/>
        <v>#DIV/0!</v>
      </c>
      <c r="U12" s="4">
        <v>7</v>
      </c>
      <c r="V12" s="259" t="e">
        <f t="shared" si="0"/>
        <v>#DIV/0!</v>
      </c>
      <c r="W12" s="259" t="e">
        <f t="shared" si="1"/>
        <v>#DIV/0!</v>
      </c>
      <c r="Y12" s="4">
        <v>7</v>
      </c>
      <c r="Z12" s="1047" t="e">
        <f t="shared" si="2"/>
        <v>#DIV/0!</v>
      </c>
      <c r="AA12" s="169" t="e">
        <f t="shared" si="3"/>
        <v>#DIV/0!</v>
      </c>
      <c r="AC12" s="4">
        <v>7</v>
      </c>
      <c r="AD12" s="1047" t="e">
        <f t="shared" si="5"/>
        <v>#DIV/0!</v>
      </c>
      <c r="AE12" s="169" t="e">
        <f t="shared" si="6"/>
        <v>#DIV/0!</v>
      </c>
      <c r="AG12" s="4">
        <v>7</v>
      </c>
      <c r="AH12" s="1047" t="e">
        <f t="shared" si="7"/>
        <v>#DIV/0!</v>
      </c>
      <c r="AI12" s="169" t="e">
        <f t="shared" si="8"/>
        <v>#DIV/0!</v>
      </c>
      <c r="AK12" s="4">
        <v>7</v>
      </c>
      <c r="AL12" s="1047" t="e">
        <f t="shared" si="9"/>
        <v>#DIV/0!</v>
      </c>
      <c r="AM12" s="169" t="e">
        <f t="shared" si="10"/>
        <v>#DIV/0!</v>
      </c>
    </row>
    <row r="13" spans="2:47" ht="44.1" thickBot="1">
      <c r="B13" s="1452"/>
      <c r="C13" s="7" t="s">
        <v>281</v>
      </c>
      <c r="D13" s="131">
        <f>IF(INSTRUCTIONS!Q7="Basic", 'Basic - Teachers'!$K$31)</f>
        <v>0</v>
      </c>
      <c r="E13" s="278"/>
      <c r="K13" s="22"/>
      <c r="L13" s="22"/>
      <c r="M13" s="28"/>
      <c r="N13" s="28"/>
      <c r="O13" s="28"/>
      <c r="Q13" s="4">
        <v>8</v>
      </c>
      <c r="R13" s="169" t="e">
        <f t="shared" si="12"/>
        <v>#DIV/0!</v>
      </c>
      <c r="S13" s="212" t="e">
        <f t="shared" si="13"/>
        <v>#DIV/0!</v>
      </c>
      <c r="U13" s="4">
        <v>8</v>
      </c>
      <c r="V13" s="259" t="e">
        <f t="shared" si="0"/>
        <v>#DIV/0!</v>
      </c>
      <c r="W13" s="259" t="e">
        <f t="shared" si="1"/>
        <v>#DIV/0!</v>
      </c>
      <c r="Y13" s="4">
        <v>8</v>
      </c>
      <c r="Z13" s="1047" t="e">
        <f t="shared" si="2"/>
        <v>#DIV/0!</v>
      </c>
      <c r="AA13" s="169" t="e">
        <f t="shared" si="3"/>
        <v>#DIV/0!</v>
      </c>
      <c r="AC13" s="4">
        <v>8</v>
      </c>
      <c r="AD13" s="1047" t="e">
        <f t="shared" si="5"/>
        <v>#DIV/0!</v>
      </c>
      <c r="AE13" s="169" t="e">
        <f t="shared" si="6"/>
        <v>#DIV/0!</v>
      </c>
      <c r="AG13" s="4">
        <v>8</v>
      </c>
      <c r="AH13" s="1047" t="e">
        <f t="shared" si="7"/>
        <v>#DIV/0!</v>
      </c>
      <c r="AI13" s="169" t="e">
        <f t="shared" si="8"/>
        <v>#DIV/0!</v>
      </c>
      <c r="AK13" s="4">
        <v>8</v>
      </c>
      <c r="AL13" s="1047" t="e">
        <f t="shared" si="9"/>
        <v>#DIV/0!</v>
      </c>
      <c r="AM13" s="169" t="e">
        <f t="shared" si="10"/>
        <v>#DIV/0!</v>
      </c>
    </row>
    <row r="14" spans="2:47" ht="32.1" customHeight="1" thickBot="1">
      <c r="B14" s="1458"/>
      <c r="C14" s="6" t="s">
        <v>282</v>
      </c>
      <c r="D14" s="165">
        <f>IF(INSTRUCTIONS!Q7="Basic", 'Basic - Teachers'!$K$33)</f>
        <v>0</v>
      </c>
      <c r="E14" s="278"/>
      <c r="K14" s="1455" t="e">
        <f>CONCATENATE("The average teacher in the ", M15,"-",M16," experience band makes $",M17," due to experience raises")</f>
        <v>#DIV/0!</v>
      </c>
      <c r="L14" s="1456"/>
      <c r="M14" s="1456"/>
      <c r="N14" s="1457"/>
      <c r="O14" s="75"/>
      <c r="Q14" s="4">
        <v>9</v>
      </c>
      <c r="R14" s="169" t="e">
        <f t="shared" si="12"/>
        <v>#DIV/0!</v>
      </c>
      <c r="S14" s="212" t="e">
        <f t="shared" si="13"/>
        <v>#DIV/0!</v>
      </c>
      <c r="U14" s="4">
        <v>9</v>
      </c>
      <c r="V14" s="259" t="e">
        <f t="shared" si="0"/>
        <v>#DIV/0!</v>
      </c>
      <c r="W14" s="259" t="e">
        <f t="shared" si="1"/>
        <v>#DIV/0!</v>
      </c>
      <c r="Y14" s="4">
        <v>9</v>
      </c>
      <c r="Z14" s="1047" t="e">
        <f t="shared" si="2"/>
        <v>#DIV/0!</v>
      </c>
      <c r="AA14" s="169" t="e">
        <f t="shared" si="3"/>
        <v>#DIV/0!</v>
      </c>
      <c r="AC14" s="4">
        <v>9</v>
      </c>
      <c r="AD14" s="1047" t="e">
        <f t="shared" si="5"/>
        <v>#DIV/0!</v>
      </c>
      <c r="AE14" s="169" t="e">
        <f t="shared" si="6"/>
        <v>#DIV/0!</v>
      </c>
      <c r="AG14" s="4">
        <v>9</v>
      </c>
      <c r="AH14" s="1047" t="e">
        <f t="shared" si="7"/>
        <v>#DIV/0!</v>
      </c>
      <c r="AI14" s="169" t="e">
        <f t="shared" si="8"/>
        <v>#DIV/0!</v>
      </c>
      <c r="AK14" s="4">
        <v>9</v>
      </c>
      <c r="AL14" s="1047" t="e">
        <f t="shared" si="9"/>
        <v>#DIV/0!</v>
      </c>
      <c r="AM14" s="169" t="e">
        <f t="shared" si="10"/>
        <v>#DIV/0!</v>
      </c>
    </row>
    <row r="15" spans="2:47" ht="18.600000000000001" customHeight="1" thickBot="1">
      <c r="B15" s="8"/>
      <c r="C15" s="20"/>
      <c r="D15" s="33"/>
      <c r="K15" s="1451" t="s">
        <v>271</v>
      </c>
      <c r="L15" s="76" t="s">
        <v>283</v>
      </c>
      <c r="M15" s="59" t="e">
        <f>M24+1</f>
        <v>#DIV/0!</v>
      </c>
      <c r="N15" s="59" t="e">
        <f>N24+1</f>
        <v>#DIV/0!</v>
      </c>
      <c r="O15" s="176"/>
      <c r="Q15" s="4">
        <v>10</v>
      </c>
      <c r="R15" s="169" t="e">
        <f t="shared" si="12"/>
        <v>#DIV/0!</v>
      </c>
      <c r="S15" s="212" t="e">
        <f t="shared" si="13"/>
        <v>#DIV/0!</v>
      </c>
      <c r="U15" s="4">
        <v>10</v>
      </c>
      <c r="V15" s="259" t="e">
        <f t="shared" si="0"/>
        <v>#DIV/0!</v>
      </c>
      <c r="W15" s="259" t="e">
        <f t="shared" si="1"/>
        <v>#DIV/0!</v>
      </c>
      <c r="Y15" s="4">
        <v>10</v>
      </c>
      <c r="Z15" s="1047" t="e">
        <f t="shared" si="2"/>
        <v>#DIV/0!</v>
      </c>
      <c r="AA15" s="169" t="e">
        <f t="shared" si="3"/>
        <v>#DIV/0!</v>
      </c>
      <c r="AC15" s="4">
        <v>10</v>
      </c>
      <c r="AD15" s="1047" t="e">
        <f t="shared" si="5"/>
        <v>#DIV/0!</v>
      </c>
      <c r="AE15" s="169" t="e">
        <f t="shared" si="6"/>
        <v>#DIV/0!</v>
      </c>
      <c r="AG15" s="4">
        <v>10</v>
      </c>
      <c r="AH15" s="1047" t="e">
        <f t="shared" si="7"/>
        <v>#DIV/0!</v>
      </c>
      <c r="AI15" s="169" t="e">
        <f t="shared" si="8"/>
        <v>#DIV/0!</v>
      </c>
      <c r="AK15" s="4">
        <v>10</v>
      </c>
      <c r="AL15" s="1047" t="e">
        <f t="shared" si="9"/>
        <v>#DIV/0!</v>
      </c>
      <c r="AM15" s="169" t="e">
        <f t="shared" si="10"/>
        <v>#DIV/0!</v>
      </c>
    </row>
    <row r="16" spans="2:47" ht="32.1" customHeight="1">
      <c r="B16" s="1451" t="s">
        <v>284</v>
      </c>
      <c r="C16" s="2" t="s">
        <v>285</v>
      </c>
      <c r="D16" s="130">
        <f>IF(INSTRUCTIONS!Q7="Basic", 'Basic - Teachers'!$L$30)</f>
        <v>0</v>
      </c>
      <c r="E16" s="278"/>
      <c r="K16" s="1452"/>
      <c r="L16" s="75" t="s">
        <v>286</v>
      </c>
      <c r="M16" s="77" t="e">
        <f>IF(($D$13-$D$11)/$D$12&gt;=15,15,M9)</f>
        <v>#DIV/0!</v>
      </c>
      <c r="N16" s="77" t="e">
        <f>IF(($D$17-$D$16)/$D$19&gt;=15,15,N9)</f>
        <v>#DIV/0!</v>
      </c>
      <c r="O16" s="176"/>
      <c r="Q16" s="4">
        <v>11</v>
      </c>
      <c r="R16" s="169" t="e">
        <f t="shared" si="12"/>
        <v>#DIV/0!</v>
      </c>
      <c r="S16" s="212" t="e">
        <f t="shared" si="13"/>
        <v>#DIV/0!</v>
      </c>
      <c r="U16" s="4">
        <v>11</v>
      </c>
      <c r="V16" s="259" t="e">
        <f t="shared" si="0"/>
        <v>#DIV/0!</v>
      </c>
      <c r="W16" s="259" t="e">
        <f t="shared" si="1"/>
        <v>#DIV/0!</v>
      </c>
      <c r="Y16" s="4">
        <v>11</v>
      </c>
      <c r="Z16" s="1047" t="e">
        <f t="shared" si="2"/>
        <v>#DIV/0!</v>
      </c>
      <c r="AA16" s="169" t="e">
        <f t="shared" si="3"/>
        <v>#DIV/0!</v>
      </c>
      <c r="AC16" s="4">
        <v>11</v>
      </c>
      <c r="AD16" s="1047" t="e">
        <f t="shared" si="5"/>
        <v>#DIV/0!</v>
      </c>
      <c r="AE16" s="169" t="e">
        <f t="shared" si="6"/>
        <v>#DIV/0!</v>
      </c>
      <c r="AG16" s="4">
        <v>11</v>
      </c>
      <c r="AH16" s="1047" t="e">
        <f t="shared" si="7"/>
        <v>#DIV/0!</v>
      </c>
      <c r="AI16" s="169" t="e">
        <f t="shared" si="8"/>
        <v>#DIV/0!</v>
      </c>
      <c r="AK16" s="4">
        <v>11</v>
      </c>
      <c r="AL16" s="1047" t="e">
        <f t="shared" si="9"/>
        <v>#DIV/0!</v>
      </c>
      <c r="AM16" s="169" t="e">
        <f t="shared" si="10"/>
        <v>#DIV/0!</v>
      </c>
    </row>
    <row r="17" spans="2:39" ht="32.1" customHeight="1">
      <c r="B17" s="1452"/>
      <c r="C17" s="20" t="s">
        <v>287</v>
      </c>
      <c r="D17" s="131">
        <f>IF(INSTRUCTIONS!Q7="Basic", 'Basic - Teachers'!$K$31)</f>
        <v>0</v>
      </c>
      <c r="E17" s="279"/>
      <c r="K17" s="1452"/>
      <c r="L17" s="22" t="s">
        <v>288</v>
      </c>
      <c r="M17" s="51" t="e">
        <f>AVERAGE(M15,M16)*$D$12</f>
        <v>#DIV/0!</v>
      </c>
      <c r="N17" s="51" t="e">
        <f>AVERAGE(N15:N16)*$D$19</f>
        <v>#DIV/0!</v>
      </c>
      <c r="O17" s="56"/>
      <c r="Q17" s="4">
        <v>12</v>
      </c>
      <c r="R17" s="169" t="e">
        <f t="shared" si="12"/>
        <v>#DIV/0!</v>
      </c>
      <c r="S17" s="212" t="e">
        <f t="shared" si="13"/>
        <v>#DIV/0!</v>
      </c>
      <c r="U17" s="4">
        <v>12</v>
      </c>
      <c r="V17" s="259" t="e">
        <f t="shared" si="0"/>
        <v>#DIV/0!</v>
      </c>
      <c r="W17" s="259" t="e">
        <f t="shared" si="1"/>
        <v>#DIV/0!</v>
      </c>
      <c r="Y17" s="4">
        <v>12</v>
      </c>
      <c r="Z17" s="1047" t="e">
        <f t="shared" si="2"/>
        <v>#DIV/0!</v>
      </c>
      <c r="AA17" s="169" t="e">
        <f t="shared" si="3"/>
        <v>#DIV/0!</v>
      </c>
      <c r="AC17" s="4">
        <v>12</v>
      </c>
      <c r="AD17" s="1047" t="e">
        <f t="shared" si="5"/>
        <v>#DIV/0!</v>
      </c>
      <c r="AE17" s="169" t="e">
        <f t="shared" si="6"/>
        <v>#DIV/0!</v>
      </c>
      <c r="AG17" s="4">
        <v>12</v>
      </c>
      <c r="AH17" s="1047" t="e">
        <f t="shared" si="7"/>
        <v>#DIV/0!</v>
      </c>
      <c r="AI17" s="169" t="e">
        <f t="shared" si="8"/>
        <v>#DIV/0!</v>
      </c>
      <c r="AK17" s="4">
        <v>12</v>
      </c>
      <c r="AL17" s="1047" t="e">
        <f t="shared" si="9"/>
        <v>#DIV/0!</v>
      </c>
      <c r="AM17" s="169" t="e">
        <f t="shared" si="10"/>
        <v>#DIV/0!</v>
      </c>
    </row>
    <row r="18" spans="2:39" ht="57.6" customHeight="1">
      <c r="B18" s="1452"/>
      <c r="C18" s="71" t="e">
        <f>CONCATENATE("GPI for years ",M23,"-",M24,)</f>
        <v>#DIV/0!</v>
      </c>
      <c r="D18" s="19">
        <f>IF(INSTRUCTIONS!Q7="Basic", 'Basic - Teachers'!$L$37)</f>
        <v>0</v>
      </c>
      <c r="E18" s="278"/>
      <c r="K18" s="1452"/>
      <c r="L18" s="22" t="s">
        <v>289</v>
      </c>
      <c r="M18" s="113">
        <f>$D$4*$D$7</f>
        <v>0</v>
      </c>
      <c r="N18" s="113">
        <f>$D$7*$D$4</f>
        <v>0</v>
      </c>
      <c r="O18" s="177"/>
      <c r="Q18" s="4">
        <v>13</v>
      </c>
      <c r="R18" s="169" t="e">
        <f t="shared" si="12"/>
        <v>#DIV/0!</v>
      </c>
      <c r="S18" s="212" t="e">
        <f t="shared" si="13"/>
        <v>#DIV/0!</v>
      </c>
      <c r="U18" s="4">
        <v>13</v>
      </c>
      <c r="V18" s="259" t="e">
        <f t="shared" si="0"/>
        <v>#DIV/0!</v>
      </c>
      <c r="W18" s="259" t="e">
        <f t="shared" si="1"/>
        <v>#DIV/0!</v>
      </c>
      <c r="Y18" s="4">
        <v>13</v>
      </c>
      <c r="Z18" s="1047" t="e">
        <f t="shared" si="2"/>
        <v>#DIV/0!</v>
      </c>
      <c r="AA18" s="169" t="e">
        <f t="shared" si="3"/>
        <v>#DIV/0!</v>
      </c>
      <c r="AC18" s="4">
        <v>13</v>
      </c>
      <c r="AD18" s="1047" t="e">
        <f t="shared" si="5"/>
        <v>#DIV/0!</v>
      </c>
      <c r="AE18" s="169" t="e">
        <f t="shared" si="6"/>
        <v>#DIV/0!</v>
      </c>
      <c r="AG18" s="4">
        <v>13</v>
      </c>
      <c r="AH18" s="1047" t="e">
        <f t="shared" si="7"/>
        <v>#DIV/0!</v>
      </c>
      <c r="AI18" s="169" t="e">
        <f t="shared" si="8"/>
        <v>#DIV/0!</v>
      </c>
      <c r="AK18" s="4">
        <v>13</v>
      </c>
      <c r="AL18" s="1047" t="e">
        <f t="shared" si="9"/>
        <v>#DIV/0!</v>
      </c>
      <c r="AM18" s="169" t="e">
        <f t="shared" si="10"/>
        <v>#DIV/0!</v>
      </c>
    </row>
    <row r="19" spans="2:39" ht="45" customHeight="1">
      <c r="B19" s="1452"/>
      <c r="C19" s="71" t="e">
        <f>CONCATENATE("GPI for years ",M15,"-",M16)</f>
        <v>#DIV/0!</v>
      </c>
      <c r="D19" s="19">
        <f>IF(INSTRUCTIONS!Q7="Basic", 'Basic - Teachers'!L38)</f>
        <v>0</v>
      </c>
      <c r="E19" s="278"/>
      <c r="K19" s="1452"/>
      <c r="L19" s="74" t="s">
        <v>290</v>
      </c>
      <c r="M19" s="51" t="e">
        <f>M17*M18</f>
        <v>#DIV/0!</v>
      </c>
      <c r="N19" s="51" t="e">
        <f>N18*N17</f>
        <v>#DIV/0!</v>
      </c>
      <c r="O19" s="56"/>
      <c r="Q19" s="4">
        <v>14</v>
      </c>
      <c r="R19" s="169" t="e">
        <f t="shared" si="12"/>
        <v>#DIV/0!</v>
      </c>
      <c r="S19" s="212" t="e">
        <f t="shared" si="13"/>
        <v>#DIV/0!</v>
      </c>
      <c r="U19" s="4">
        <v>14</v>
      </c>
      <c r="V19" s="259" t="e">
        <f t="shared" si="0"/>
        <v>#DIV/0!</v>
      </c>
      <c r="W19" s="259" t="e">
        <f t="shared" si="1"/>
        <v>#DIV/0!</v>
      </c>
      <c r="Y19" s="4">
        <v>14</v>
      </c>
      <c r="Z19" s="1047" t="e">
        <f t="shared" si="2"/>
        <v>#DIV/0!</v>
      </c>
      <c r="AA19" s="169" t="e">
        <f t="shared" si="3"/>
        <v>#DIV/0!</v>
      </c>
      <c r="AC19" s="4">
        <v>14</v>
      </c>
      <c r="AD19" s="1047" t="e">
        <f t="shared" si="5"/>
        <v>#DIV/0!</v>
      </c>
      <c r="AE19" s="169" t="e">
        <f t="shared" si="6"/>
        <v>#DIV/0!</v>
      </c>
      <c r="AG19" s="4">
        <v>14</v>
      </c>
      <c r="AH19" s="1047" t="e">
        <f t="shared" si="7"/>
        <v>#DIV/0!</v>
      </c>
      <c r="AI19" s="169" t="e">
        <f t="shared" si="8"/>
        <v>#DIV/0!</v>
      </c>
      <c r="AK19" s="4">
        <v>14</v>
      </c>
      <c r="AL19" s="1047" t="e">
        <f t="shared" si="9"/>
        <v>#DIV/0!</v>
      </c>
      <c r="AM19" s="169" t="e">
        <f t="shared" si="10"/>
        <v>#DIV/0!</v>
      </c>
    </row>
    <row r="20" spans="2:39" ht="32.1" customHeight="1" thickBot="1">
      <c r="B20" s="1458"/>
      <c r="C20" s="72" t="e">
        <f>CONCATENATE("GPI above year ",M16)</f>
        <v>#DIV/0!</v>
      </c>
      <c r="D20" s="18">
        <f>IF(INSTRUCTIONS!Q7="Basic", 'Basic - Teachers'!L39)</f>
        <v>0</v>
      </c>
      <c r="E20" s="278"/>
      <c r="K20" s="1458"/>
      <c r="L20" s="194" t="s">
        <v>291</v>
      </c>
      <c r="M20" s="39" t="e">
        <f>(M24-M23)*$D$18+(M7-M15)*$D$19</f>
        <v>#DIV/0!</v>
      </c>
      <c r="N20" s="39" t="e">
        <f>(N24-N23)*$D$18+(N7-N15)*$D$19</f>
        <v>#DIV/0!</v>
      </c>
      <c r="O20" s="28"/>
      <c r="Q20" s="4">
        <v>15</v>
      </c>
      <c r="R20" s="169" t="e">
        <f t="shared" si="12"/>
        <v>#DIV/0!</v>
      </c>
      <c r="S20" s="212" t="e">
        <f t="shared" si="13"/>
        <v>#DIV/0!</v>
      </c>
      <c r="U20" s="4">
        <v>15</v>
      </c>
      <c r="V20" s="259" t="e">
        <f t="shared" si="0"/>
        <v>#DIV/0!</v>
      </c>
      <c r="W20" s="259" t="e">
        <f t="shared" si="1"/>
        <v>#DIV/0!</v>
      </c>
      <c r="Y20" s="4">
        <v>15</v>
      </c>
      <c r="Z20" s="1047" t="e">
        <f t="shared" si="2"/>
        <v>#DIV/0!</v>
      </c>
      <c r="AA20" s="169" t="e">
        <f t="shared" si="3"/>
        <v>#DIV/0!</v>
      </c>
      <c r="AC20" s="4">
        <v>15</v>
      </c>
      <c r="AD20" s="1047" t="e">
        <f t="shared" si="5"/>
        <v>#DIV/0!</v>
      </c>
      <c r="AE20" s="169" t="e">
        <f t="shared" si="6"/>
        <v>#DIV/0!</v>
      </c>
      <c r="AG20" s="4">
        <v>15</v>
      </c>
      <c r="AH20" s="1047" t="e">
        <f t="shared" si="7"/>
        <v>#DIV/0!</v>
      </c>
      <c r="AI20" s="169" t="e">
        <f t="shared" si="8"/>
        <v>#DIV/0!</v>
      </c>
      <c r="AK20" s="4">
        <v>15</v>
      </c>
      <c r="AL20" s="1047" t="e">
        <f t="shared" si="9"/>
        <v>#DIV/0!</v>
      </c>
      <c r="AM20" s="169" t="e">
        <f t="shared" si="10"/>
        <v>#DIV/0!</v>
      </c>
    </row>
    <row r="21" spans="2:39" ht="15" thickBot="1">
      <c r="B21" s="8"/>
      <c r="C21" s="71"/>
      <c r="D21" s="99"/>
      <c r="E21" s="22"/>
      <c r="K21" s="22"/>
      <c r="L21" s="22"/>
      <c r="M21" s="28"/>
      <c r="N21" s="28"/>
      <c r="O21" s="75"/>
      <c r="Q21" s="4">
        <v>16</v>
      </c>
      <c r="R21" s="169" t="e">
        <f t="shared" si="12"/>
        <v>#DIV/0!</v>
      </c>
      <c r="S21" s="212" t="e">
        <f>IF(Q21&lt;=$N$9, S20+($D$20), S20)</f>
        <v>#DIV/0!</v>
      </c>
      <c r="U21" s="4">
        <v>16</v>
      </c>
      <c r="V21" s="259" t="e">
        <f t="shared" si="0"/>
        <v>#DIV/0!</v>
      </c>
      <c r="W21" s="259" t="e">
        <f t="shared" si="1"/>
        <v>#DIV/0!</v>
      </c>
      <c r="Y21" s="4">
        <v>16</v>
      </c>
      <c r="Z21" s="1047" t="e">
        <f t="shared" si="2"/>
        <v>#DIV/0!</v>
      </c>
      <c r="AA21" s="169" t="e">
        <f t="shared" si="3"/>
        <v>#DIV/0!</v>
      </c>
      <c r="AC21" s="4">
        <v>16</v>
      </c>
      <c r="AD21" s="1047" t="e">
        <f t="shared" si="5"/>
        <v>#DIV/0!</v>
      </c>
      <c r="AE21" s="169" t="e">
        <f t="shared" si="6"/>
        <v>#DIV/0!</v>
      </c>
      <c r="AG21" s="4">
        <v>16</v>
      </c>
      <c r="AH21" s="1047" t="e">
        <f t="shared" si="7"/>
        <v>#DIV/0!</v>
      </c>
      <c r="AI21" s="169" t="e">
        <f t="shared" si="8"/>
        <v>#DIV/0!</v>
      </c>
      <c r="AK21" s="4">
        <v>16</v>
      </c>
      <c r="AL21" s="1047" t="e">
        <f t="shared" si="9"/>
        <v>#DIV/0!</v>
      </c>
      <c r="AM21" s="169" t="e">
        <f t="shared" si="10"/>
        <v>#DIV/0!</v>
      </c>
    </row>
    <row r="22" spans="2:39" ht="14.45" customHeight="1" thickBot="1">
      <c r="B22" s="93"/>
      <c r="C22" s="78"/>
      <c r="D22" s="125" t="s">
        <v>292</v>
      </c>
      <c r="E22" s="125" t="s">
        <v>293</v>
      </c>
      <c r="F22" s="125" t="s">
        <v>294</v>
      </c>
      <c r="G22" s="9"/>
      <c r="K22" s="1455" t="e">
        <f>CONCATENATE("The average teacher in the ", M23,"-",M24," experience band makes $",M25," due to experience raises")</f>
        <v>#DIV/0!</v>
      </c>
      <c r="L22" s="1456"/>
      <c r="M22" s="1456"/>
      <c r="N22" s="1457"/>
      <c r="O22" s="176"/>
      <c r="Q22" s="4">
        <v>17</v>
      </c>
      <c r="R22" s="169" t="e">
        <f t="shared" si="12"/>
        <v>#DIV/0!</v>
      </c>
      <c r="S22" s="212" t="e">
        <f t="shared" ref="S22:S35" si="14">IF(Q22&lt;=$N$9, S21+($D$20), S21)</f>
        <v>#DIV/0!</v>
      </c>
      <c r="U22" s="4">
        <v>17</v>
      </c>
      <c r="V22" s="259" t="e">
        <f t="shared" si="0"/>
        <v>#DIV/0!</v>
      </c>
      <c r="W22" s="259" t="e">
        <f t="shared" si="1"/>
        <v>#DIV/0!</v>
      </c>
      <c r="Y22" s="4">
        <v>17</v>
      </c>
      <c r="Z22" s="1047" t="e">
        <f t="shared" si="2"/>
        <v>#DIV/0!</v>
      </c>
      <c r="AA22" s="169" t="e">
        <f t="shared" si="3"/>
        <v>#DIV/0!</v>
      </c>
      <c r="AC22" s="4">
        <v>17</v>
      </c>
      <c r="AD22" s="1047" t="e">
        <f t="shared" si="5"/>
        <v>#DIV/0!</v>
      </c>
      <c r="AE22" s="169" t="e">
        <f t="shared" si="6"/>
        <v>#DIV/0!</v>
      </c>
      <c r="AG22" s="4">
        <v>17</v>
      </c>
      <c r="AH22" s="1047" t="e">
        <f t="shared" si="7"/>
        <v>#DIV/0!</v>
      </c>
      <c r="AI22" s="169" t="e">
        <f t="shared" si="8"/>
        <v>#DIV/0!</v>
      </c>
      <c r="AK22" s="4">
        <v>17</v>
      </c>
      <c r="AL22" s="1047" t="e">
        <f t="shared" si="9"/>
        <v>#DIV/0!</v>
      </c>
      <c r="AM22" s="169" t="e">
        <f t="shared" si="10"/>
        <v>#DIV/0!</v>
      </c>
    </row>
    <row r="23" spans="2:39">
      <c r="B23" s="1477" t="s">
        <v>93</v>
      </c>
      <c r="C23" s="36" t="s">
        <v>102</v>
      </c>
      <c r="D23" s="42">
        <f>IF(INSTRUCTIONS!Q7="Basic", 'Basic - Teachers'!$K$22)</f>
        <v>0</v>
      </c>
      <c r="E23" s="215"/>
      <c r="F23" s="215"/>
      <c r="H23" s="278"/>
      <c r="K23" s="1451" t="s">
        <v>271</v>
      </c>
      <c r="L23" s="76" t="s">
        <v>295</v>
      </c>
      <c r="M23" s="59">
        <v>0</v>
      </c>
      <c r="N23" s="59">
        <v>0</v>
      </c>
      <c r="O23" s="176"/>
      <c r="Q23" s="4">
        <v>18</v>
      </c>
      <c r="R23" s="169" t="e">
        <f t="shared" si="12"/>
        <v>#DIV/0!</v>
      </c>
      <c r="S23" s="212" t="e">
        <f t="shared" si="14"/>
        <v>#DIV/0!</v>
      </c>
      <c r="U23" s="4">
        <v>18</v>
      </c>
      <c r="V23" s="259" t="e">
        <f t="shared" si="0"/>
        <v>#DIV/0!</v>
      </c>
      <c r="W23" s="259" t="e">
        <f t="shared" si="1"/>
        <v>#DIV/0!</v>
      </c>
      <c r="Y23" s="4">
        <v>18</v>
      </c>
      <c r="Z23" s="1047" t="e">
        <f t="shared" si="2"/>
        <v>#DIV/0!</v>
      </c>
      <c r="AA23" s="169" t="e">
        <f t="shared" si="3"/>
        <v>#DIV/0!</v>
      </c>
      <c r="AC23" s="4">
        <v>18</v>
      </c>
      <c r="AD23" s="1047" t="e">
        <f t="shared" si="5"/>
        <v>#DIV/0!</v>
      </c>
      <c r="AE23" s="169" t="e">
        <f t="shared" si="6"/>
        <v>#DIV/0!</v>
      </c>
      <c r="AG23" s="4">
        <v>18</v>
      </c>
      <c r="AH23" s="1047" t="e">
        <f t="shared" si="7"/>
        <v>#DIV/0!</v>
      </c>
      <c r="AI23" s="169" t="e">
        <f t="shared" si="8"/>
        <v>#DIV/0!</v>
      </c>
      <c r="AK23" s="4">
        <v>18</v>
      </c>
      <c r="AL23" s="1047" t="e">
        <f t="shared" si="9"/>
        <v>#DIV/0!</v>
      </c>
      <c r="AM23" s="169" t="e">
        <f t="shared" si="10"/>
        <v>#DIV/0!</v>
      </c>
    </row>
    <row r="24" spans="2:39">
      <c r="B24" s="1478"/>
      <c r="C24" s="100" t="s">
        <v>104</v>
      </c>
      <c r="D24" s="42">
        <f>IF(INSTRUCTIONS!Q7="Basic", 'Basic - Teachers'!$K$23)</f>
        <v>0</v>
      </c>
      <c r="E24" s="19">
        <f>'Basic - Teachers'!L23</f>
        <v>0</v>
      </c>
      <c r="F24" s="213">
        <f>'Basic - Teachers'!M23</f>
        <v>0</v>
      </c>
      <c r="H24" s="278"/>
      <c r="K24" s="1452"/>
      <c r="L24" s="75" t="s">
        <v>296</v>
      </c>
      <c r="M24" s="77" t="e">
        <f>IF(($D$13-$D$11)/$D$12&gt;=4,4,M9)</f>
        <v>#DIV/0!</v>
      </c>
      <c r="N24" s="77" t="e">
        <f>IF(($D$17-$D$16)/$D$18&gt;=4,4,N9)</f>
        <v>#DIV/0!</v>
      </c>
      <c r="O24" s="56"/>
      <c r="Q24" s="4">
        <v>19</v>
      </c>
      <c r="R24" s="169" t="e">
        <f t="shared" si="12"/>
        <v>#DIV/0!</v>
      </c>
      <c r="S24" s="212" t="e">
        <f t="shared" si="14"/>
        <v>#DIV/0!</v>
      </c>
      <c r="U24" s="4">
        <v>19</v>
      </c>
      <c r="V24" s="259" t="e">
        <f t="shared" si="0"/>
        <v>#DIV/0!</v>
      </c>
      <c r="W24" s="259" t="e">
        <f t="shared" si="1"/>
        <v>#DIV/0!</v>
      </c>
      <c r="Y24" s="4">
        <v>19</v>
      </c>
      <c r="Z24" s="1047" t="e">
        <f t="shared" si="2"/>
        <v>#DIV/0!</v>
      </c>
      <c r="AA24" s="169" t="e">
        <f t="shared" si="3"/>
        <v>#DIV/0!</v>
      </c>
      <c r="AC24" s="4">
        <v>19</v>
      </c>
      <c r="AD24" s="1047" t="e">
        <f t="shared" si="5"/>
        <v>#DIV/0!</v>
      </c>
      <c r="AE24" s="169" t="e">
        <f t="shared" si="6"/>
        <v>#DIV/0!</v>
      </c>
      <c r="AG24" s="4">
        <v>19</v>
      </c>
      <c r="AH24" s="1047" t="e">
        <f t="shared" si="7"/>
        <v>#DIV/0!</v>
      </c>
      <c r="AI24" s="169" t="e">
        <f t="shared" si="8"/>
        <v>#DIV/0!</v>
      </c>
      <c r="AK24" s="4">
        <v>19</v>
      </c>
      <c r="AL24" s="1047" t="e">
        <f t="shared" si="9"/>
        <v>#DIV/0!</v>
      </c>
      <c r="AM24" s="169" t="e">
        <f t="shared" si="10"/>
        <v>#DIV/0!</v>
      </c>
    </row>
    <row r="25" spans="2:39" ht="15" thickBot="1">
      <c r="B25" s="1479"/>
      <c r="C25" s="60" t="s">
        <v>297</v>
      </c>
      <c r="D25" s="12">
        <f>IF(INSTRUCTIONS!Q7="Basic", 'Basic - Teachers'!$K$24)</f>
        <v>0</v>
      </c>
      <c r="E25" s="18">
        <f>'Basic - Teachers'!L24</f>
        <v>0</v>
      </c>
      <c r="F25" s="214">
        <f>'Basic - Teachers'!M24</f>
        <v>0</v>
      </c>
      <c r="H25" s="278"/>
      <c r="K25" s="1452"/>
      <c r="L25" s="22" t="s">
        <v>298</v>
      </c>
      <c r="M25" s="186" t="e">
        <f>AVERAGE(M23,M24)*$D$12</f>
        <v>#DIV/0!</v>
      </c>
      <c r="N25" s="51" t="e">
        <f>AVERAGE(N23:N24)*$D$18</f>
        <v>#DIV/0!</v>
      </c>
      <c r="O25" s="177"/>
      <c r="Q25" s="4">
        <v>20</v>
      </c>
      <c r="R25" s="169" t="e">
        <f t="shared" si="12"/>
        <v>#DIV/0!</v>
      </c>
      <c r="S25" s="212" t="e">
        <f t="shared" si="14"/>
        <v>#DIV/0!</v>
      </c>
      <c r="U25" s="4">
        <v>20</v>
      </c>
      <c r="V25" s="259" t="e">
        <f t="shared" si="0"/>
        <v>#DIV/0!</v>
      </c>
      <c r="W25" s="259" t="e">
        <f t="shared" si="1"/>
        <v>#DIV/0!</v>
      </c>
      <c r="Y25" s="4">
        <v>20</v>
      </c>
      <c r="Z25" s="1047" t="e">
        <f t="shared" si="2"/>
        <v>#DIV/0!</v>
      </c>
      <c r="AA25" s="169" t="e">
        <f t="shared" si="3"/>
        <v>#DIV/0!</v>
      </c>
      <c r="AC25" s="4">
        <v>20</v>
      </c>
      <c r="AD25" s="1047" t="e">
        <f t="shared" si="5"/>
        <v>#DIV/0!</v>
      </c>
      <c r="AE25" s="169" t="e">
        <f t="shared" si="6"/>
        <v>#DIV/0!</v>
      </c>
      <c r="AG25" s="4">
        <v>20</v>
      </c>
      <c r="AH25" s="1047" t="e">
        <f t="shared" si="7"/>
        <v>#DIV/0!</v>
      </c>
      <c r="AI25" s="169" t="e">
        <f t="shared" si="8"/>
        <v>#DIV/0!</v>
      </c>
      <c r="AK25" s="4">
        <v>20</v>
      </c>
      <c r="AL25" s="1047" t="e">
        <f t="shared" si="9"/>
        <v>#DIV/0!</v>
      </c>
      <c r="AM25" s="169" t="e">
        <f t="shared" si="10"/>
        <v>#DIV/0!</v>
      </c>
    </row>
    <row r="26" spans="2:39" ht="15" thickBot="1">
      <c r="K26" s="1452"/>
      <c r="L26" s="22" t="s">
        <v>299</v>
      </c>
      <c r="M26" s="187">
        <f>$D$4*$D$6</f>
        <v>0</v>
      </c>
      <c r="N26" s="113">
        <f>$D$6*$D$4</f>
        <v>0</v>
      </c>
      <c r="O26" s="56"/>
      <c r="Q26" s="4">
        <v>21</v>
      </c>
      <c r="R26" s="169" t="e">
        <f t="shared" si="12"/>
        <v>#DIV/0!</v>
      </c>
      <c r="S26" s="212" t="e">
        <f t="shared" si="14"/>
        <v>#DIV/0!</v>
      </c>
      <c r="U26" s="4">
        <v>21</v>
      </c>
      <c r="V26" s="259" t="e">
        <f t="shared" si="0"/>
        <v>#DIV/0!</v>
      </c>
      <c r="W26" s="259" t="e">
        <f t="shared" si="1"/>
        <v>#DIV/0!</v>
      </c>
      <c r="Y26" s="4">
        <v>21</v>
      </c>
      <c r="Z26" s="1047" t="e">
        <f t="shared" si="2"/>
        <v>#DIV/0!</v>
      </c>
      <c r="AA26" s="169" t="e">
        <f t="shared" si="3"/>
        <v>#DIV/0!</v>
      </c>
      <c r="AC26" s="4">
        <v>21</v>
      </c>
      <c r="AD26" s="1047" t="e">
        <f t="shared" si="5"/>
        <v>#DIV/0!</v>
      </c>
      <c r="AE26" s="169" t="e">
        <f t="shared" si="6"/>
        <v>#DIV/0!</v>
      </c>
      <c r="AG26" s="4">
        <v>21</v>
      </c>
      <c r="AH26" s="1047" t="e">
        <f t="shared" si="7"/>
        <v>#DIV/0!</v>
      </c>
      <c r="AI26" s="169" t="e">
        <f t="shared" si="8"/>
        <v>#DIV/0!</v>
      </c>
      <c r="AK26" s="4">
        <v>21</v>
      </c>
      <c r="AL26" s="1047" t="e">
        <f t="shared" si="9"/>
        <v>#DIV/0!</v>
      </c>
      <c r="AM26" s="169" t="e">
        <f t="shared" si="10"/>
        <v>#DIV/0!</v>
      </c>
    </row>
    <row r="27" spans="2:39" ht="14.45" customHeight="1">
      <c r="B27" s="1477" t="s">
        <v>300</v>
      </c>
      <c r="C27" s="10" t="s">
        <v>301</v>
      </c>
      <c r="D27" s="67">
        <f>$M$48</f>
        <v>0</v>
      </c>
      <c r="E27" s="172"/>
      <c r="K27" s="1453"/>
      <c r="L27" s="185" t="s">
        <v>302</v>
      </c>
      <c r="M27" s="186" t="e">
        <f>M25*M26</f>
        <v>#DIV/0!</v>
      </c>
      <c r="N27" s="51" t="e">
        <f>N25*N26</f>
        <v>#DIV/0!</v>
      </c>
      <c r="O27" s="28"/>
      <c r="Q27" s="4">
        <v>22</v>
      </c>
      <c r="R27" s="169" t="e">
        <f t="shared" si="12"/>
        <v>#DIV/0!</v>
      </c>
      <c r="S27" s="212" t="e">
        <f t="shared" si="14"/>
        <v>#DIV/0!</v>
      </c>
      <c r="U27" s="4">
        <v>22</v>
      </c>
      <c r="V27" s="259" t="e">
        <f t="shared" si="0"/>
        <v>#DIV/0!</v>
      </c>
      <c r="W27" s="259" t="e">
        <f t="shared" si="1"/>
        <v>#DIV/0!</v>
      </c>
      <c r="Y27" s="4">
        <v>22</v>
      </c>
      <c r="Z27" s="1047" t="e">
        <f t="shared" si="2"/>
        <v>#DIV/0!</v>
      </c>
      <c r="AA27" s="169" t="e">
        <f t="shared" si="3"/>
        <v>#DIV/0!</v>
      </c>
      <c r="AC27" s="4">
        <v>22</v>
      </c>
      <c r="AD27" s="1047" t="e">
        <f t="shared" si="5"/>
        <v>#DIV/0!</v>
      </c>
      <c r="AE27" s="169" t="e">
        <f t="shared" si="6"/>
        <v>#DIV/0!</v>
      </c>
      <c r="AG27" s="4">
        <v>22</v>
      </c>
      <c r="AH27" s="1047" t="e">
        <f t="shared" si="7"/>
        <v>#DIV/0!</v>
      </c>
      <c r="AI27" s="169" t="e">
        <f t="shared" si="8"/>
        <v>#DIV/0!</v>
      </c>
      <c r="AK27" s="4">
        <v>22</v>
      </c>
      <c r="AL27" s="1047" t="e">
        <f t="shared" si="9"/>
        <v>#DIV/0!</v>
      </c>
      <c r="AM27" s="169" t="e">
        <f t="shared" si="10"/>
        <v>#DIV/0!</v>
      </c>
    </row>
    <row r="28" spans="2:39" ht="15" thickBot="1">
      <c r="B28" s="1479"/>
      <c r="K28" s="1454"/>
      <c r="L28" s="195" t="s">
        <v>303</v>
      </c>
      <c r="M28" s="83" t="e">
        <f>(M24-M23)*$D$12</f>
        <v>#DIV/0!</v>
      </c>
      <c r="N28" s="39" t="e">
        <f>(N24-N23)*$D$18</f>
        <v>#DIV/0!</v>
      </c>
      <c r="O28" s="30"/>
      <c r="Q28" s="4">
        <v>23</v>
      </c>
      <c r="R28" s="169" t="e">
        <f t="shared" si="12"/>
        <v>#DIV/0!</v>
      </c>
      <c r="S28" s="212" t="e">
        <f t="shared" si="14"/>
        <v>#DIV/0!</v>
      </c>
      <c r="U28" s="4">
        <v>23</v>
      </c>
      <c r="V28" s="259" t="e">
        <f t="shared" si="0"/>
        <v>#DIV/0!</v>
      </c>
      <c r="W28" s="259" t="e">
        <f t="shared" si="1"/>
        <v>#DIV/0!</v>
      </c>
      <c r="Y28" s="4">
        <v>23</v>
      </c>
      <c r="Z28" s="1047" t="e">
        <f t="shared" si="2"/>
        <v>#DIV/0!</v>
      </c>
      <c r="AA28" s="169" t="e">
        <f t="shared" si="3"/>
        <v>#DIV/0!</v>
      </c>
      <c r="AC28" s="4">
        <v>23</v>
      </c>
      <c r="AD28" s="1047" t="e">
        <f t="shared" si="5"/>
        <v>#DIV/0!</v>
      </c>
      <c r="AE28" s="169" t="e">
        <f t="shared" si="6"/>
        <v>#DIV/0!</v>
      </c>
      <c r="AG28" s="4">
        <v>23</v>
      </c>
      <c r="AH28" s="1047" t="e">
        <f t="shared" si="7"/>
        <v>#DIV/0!</v>
      </c>
      <c r="AI28" s="169" t="e">
        <f t="shared" si="8"/>
        <v>#DIV/0!</v>
      </c>
      <c r="AK28" s="4">
        <v>23</v>
      </c>
      <c r="AL28" s="1047" t="e">
        <f t="shared" si="9"/>
        <v>#DIV/0!</v>
      </c>
      <c r="AM28" s="169" t="e">
        <f t="shared" si="10"/>
        <v>#DIV/0!</v>
      </c>
    </row>
    <row r="29" spans="2:39" ht="15" thickBot="1">
      <c r="K29" s="22"/>
      <c r="L29" s="22"/>
      <c r="M29" s="28"/>
      <c r="N29" s="28"/>
      <c r="O29" s="178"/>
      <c r="Q29" s="4">
        <v>24</v>
      </c>
      <c r="R29" s="169" t="e">
        <f t="shared" si="12"/>
        <v>#DIV/0!</v>
      </c>
      <c r="S29" s="212" t="e">
        <f t="shared" si="14"/>
        <v>#DIV/0!</v>
      </c>
      <c r="U29" s="4">
        <v>24</v>
      </c>
      <c r="V29" s="259" t="e">
        <f t="shared" si="0"/>
        <v>#DIV/0!</v>
      </c>
      <c r="W29" s="259" t="e">
        <f t="shared" si="1"/>
        <v>#DIV/0!</v>
      </c>
      <c r="Y29" s="4">
        <v>24</v>
      </c>
      <c r="Z29" s="1047" t="e">
        <f t="shared" si="2"/>
        <v>#DIV/0!</v>
      </c>
      <c r="AA29" s="169" t="e">
        <f t="shared" si="3"/>
        <v>#DIV/0!</v>
      </c>
      <c r="AC29" s="4">
        <v>24</v>
      </c>
      <c r="AD29" s="1047" t="e">
        <f t="shared" si="5"/>
        <v>#DIV/0!</v>
      </c>
      <c r="AE29" s="169" t="e">
        <f t="shared" si="6"/>
        <v>#DIV/0!</v>
      </c>
      <c r="AG29" s="4">
        <v>24</v>
      </c>
      <c r="AH29" s="1047" t="e">
        <f t="shared" si="7"/>
        <v>#DIV/0!</v>
      </c>
      <c r="AI29" s="169" t="e">
        <f t="shared" si="8"/>
        <v>#DIV/0!</v>
      </c>
      <c r="AK29" s="4">
        <v>24</v>
      </c>
      <c r="AL29" s="1047" t="e">
        <f t="shared" si="9"/>
        <v>#DIV/0!</v>
      </c>
      <c r="AM29" s="169" t="e">
        <f t="shared" si="10"/>
        <v>#DIV/0!</v>
      </c>
    </row>
    <row r="30" spans="2:39" ht="15" thickBot="1">
      <c r="K30" s="1480" t="s">
        <v>271</v>
      </c>
      <c r="L30" s="47" t="s">
        <v>304</v>
      </c>
      <c r="M30" s="188">
        <f>IF($D$44="No",0,($D$32*$D$4))</f>
        <v>0</v>
      </c>
      <c r="N30" s="38">
        <f>IF($E$44="No",0,($D$32*$D$4))</f>
        <v>0</v>
      </c>
      <c r="O30" s="28"/>
      <c r="Q30" s="4">
        <v>25</v>
      </c>
      <c r="R30" s="169" t="e">
        <f t="shared" si="12"/>
        <v>#DIV/0!</v>
      </c>
      <c r="S30" s="212" t="e">
        <f t="shared" si="14"/>
        <v>#DIV/0!</v>
      </c>
      <c r="U30" s="4">
        <v>25</v>
      </c>
      <c r="V30" s="259" t="e">
        <f t="shared" si="0"/>
        <v>#DIV/0!</v>
      </c>
      <c r="W30" s="259" t="e">
        <f t="shared" si="1"/>
        <v>#DIV/0!</v>
      </c>
      <c r="Y30" s="4">
        <v>25</v>
      </c>
      <c r="Z30" s="1047" t="e">
        <f t="shared" si="2"/>
        <v>#DIV/0!</v>
      </c>
      <c r="AA30" s="169" t="e">
        <f t="shared" si="3"/>
        <v>#DIV/0!</v>
      </c>
      <c r="AC30" s="4">
        <v>25</v>
      </c>
      <c r="AD30" s="1047" t="e">
        <f t="shared" si="5"/>
        <v>#DIV/0!</v>
      </c>
      <c r="AE30" s="169" t="e">
        <f t="shared" si="6"/>
        <v>#DIV/0!</v>
      </c>
      <c r="AG30" s="4">
        <v>25</v>
      </c>
      <c r="AH30" s="1047" t="e">
        <f t="shared" si="7"/>
        <v>#DIV/0!</v>
      </c>
      <c r="AI30" s="169" t="e">
        <f t="shared" si="8"/>
        <v>#DIV/0!</v>
      </c>
      <c r="AK30" s="4">
        <v>25</v>
      </c>
      <c r="AL30" s="1047" t="e">
        <f t="shared" si="9"/>
        <v>#DIV/0!</v>
      </c>
      <c r="AM30" s="169" t="e">
        <f t="shared" si="10"/>
        <v>#DIV/0!</v>
      </c>
    </row>
    <row r="31" spans="2:39" ht="15" thickBot="1">
      <c r="B31" s="93"/>
      <c r="C31" s="123"/>
      <c r="D31" s="222" t="s">
        <v>292</v>
      </c>
      <c r="E31" s="222" t="s">
        <v>293</v>
      </c>
      <c r="F31" s="159" t="s">
        <v>294</v>
      </c>
      <c r="G31" s="9"/>
      <c r="K31" s="1454"/>
      <c r="L31" s="48" t="s">
        <v>305</v>
      </c>
      <c r="M31" s="189">
        <f>-1*$D$12*M30</f>
        <v>0</v>
      </c>
      <c r="N31" s="62">
        <f>-1*AVERAGE($D$18:$D$20)*N30</f>
        <v>0</v>
      </c>
      <c r="O31" s="56"/>
      <c r="Q31" s="4">
        <v>26</v>
      </c>
      <c r="R31" s="169" t="e">
        <f t="shared" si="12"/>
        <v>#DIV/0!</v>
      </c>
      <c r="S31" s="212" t="e">
        <f t="shared" si="14"/>
        <v>#DIV/0!</v>
      </c>
      <c r="U31" s="4">
        <v>26</v>
      </c>
      <c r="V31" s="259" t="e">
        <f t="shared" si="0"/>
        <v>#DIV/0!</v>
      </c>
      <c r="W31" s="259" t="e">
        <f t="shared" si="1"/>
        <v>#DIV/0!</v>
      </c>
      <c r="Y31" s="4">
        <v>26</v>
      </c>
      <c r="Z31" s="1047" t="e">
        <f t="shared" si="2"/>
        <v>#DIV/0!</v>
      </c>
      <c r="AA31" s="169" t="e">
        <f t="shared" si="3"/>
        <v>#DIV/0!</v>
      </c>
      <c r="AC31" s="4">
        <v>26</v>
      </c>
      <c r="AD31" s="1047" t="e">
        <f t="shared" si="5"/>
        <v>#DIV/0!</v>
      </c>
      <c r="AE31" s="169" t="e">
        <f t="shared" si="6"/>
        <v>#DIV/0!</v>
      </c>
      <c r="AG31" s="4">
        <v>26</v>
      </c>
      <c r="AH31" s="1047" t="e">
        <f t="shared" si="7"/>
        <v>#DIV/0!</v>
      </c>
      <c r="AI31" s="169" t="e">
        <f t="shared" si="8"/>
        <v>#DIV/0!</v>
      </c>
      <c r="AK31" s="4">
        <v>26</v>
      </c>
      <c r="AL31" s="1047" t="e">
        <f t="shared" si="9"/>
        <v>#DIV/0!</v>
      </c>
      <c r="AM31" s="169" t="e">
        <f t="shared" si="10"/>
        <v>#DIV/0!</v>
      </c>
    </row>
    <row r="32" spans="2:39" ht="15" thickBot="1">
      <c r="B32" s="1493" t="s">
        <v>101</v>
      </c>
      <c r="C32" s="115">
        <f>'Basic - Teachers'!$J$44</f>
        <v>0</v>
      </c>
      <c r="D32" s="230">
        <f>IF(INSTRUCTIONS!Q7="Basic", 'Basic - Teachers'!$K$44)</f>
        <v>0</v>
      </c>
      <c r="E32" s="132">
        <v>0</v>
      </c>
      <c r="F32" s="133">
        <v>0</v>
      </c>
      <c r="K32" s="22"/>
      <c r="L32" s="22"/>
      <c r="M32" s="176"/>
      <c r="N32" s="28"/>
      <c r="O32" s="28"/>
      <c r="Q32" s="4">
        <v>27</v>
      </c>
      <c r="R32" s="169" t="e">
        <f t="shared" si="12"/>
        <v>#DIV/0!</v>
      </c>
      <c r="S32" s="212" t="e">
        <f t="shared" si="14"/>
        <v>#DIV/0!</v>
      </c>
      <c r="U32" s="4">
        <v>27</v>
      </c>
      <c r="V32" s="259" t="e">
        <f t="shared" si="0"/>
        <v>#DIV/0!</v>
      </c>
      <c r="W32" s="259" t="e">
        <f t="shared" si="1"/>
        <v>#DIV/0!</v>
      </c>
      <c r="Y32" s="4">
        <v>27</v>
      </c>
      <c r="Z32" s="1047" t="e">
        <f t="shared" si="2"/>
        <v>#DIV/0!</v>
      </c>
      <c r="AA32" s="169" t="e">
        <f t="shared" si="3"/>
        <v>#DIV/0!</v>
      </c>
      <c r="AC32" s="4">
        <v>27</v>
      </c>
      <c r="AD32" s="1047" t="e">
        <f t="shared" si="5"/>
        <v>#DIV/0!</v>
      </c>
      <c r="AE32" s="169" t="e">
        <f t="shared" si="6"/>
        <v>#DIV/0!</v>
      </c>
      <c r="AG32" s="4">
        <v>27</v>
      </c>
      <c r="AH32" s="1047" t="e">
        <f t="shared" si="7"/>
        <v>#DIV/0!</v>
      </c>
      <c r="AI32" s="169" t="e">
        <f t="shared" si="8"/>
        <v>#DIV/0!</v>
      </c>
      <c r="AK32" s="4">
        <v>27</v>
      </c>
      <c r="AL32" s="1047" t="e">
        <f t="shared" si="9"/>
        <v>#DIV/0!</v>
      </c>
      <c r="AM32" s="169" t="e">
        <f t="shared" si="10"/>
        <v>#DIV/0!</v>
      </c>
    </row>
    <row r="33" spans="2:39" ht="15" thickBot="1">
      <c r="B33" s="1494"/>
      <c r="C33" s="167">
        <f>'Basic - Teachers'!$J$45</f>
        <v>0</v>
      </c>
      <c r="D33" s="231">
        <f>IF(INSTRUCTIONS!Q7="Basic", 'Basic - Teachers'!$K$45)</f>
        <v>0</v>
      </c>
      <c r="E33" s="134">
        <f>IF(INSTRUCTIONS!Q7="Basic", 'Basic - Teachers'!$L$45)</f>
        <v>0</v>
      </c>
      <c r="F33" s="135">
        <f>IF(INSTRUCTIONS!Q7="Basic", 'Basic - Teachers'!$M$45)</f>
        <v>0</v>
      </c>
      <c r="K33" s="27" t="s">
        <v>271</v>
      </c>
      <c r="L33" s="21" t="s">
        <v>306</v>
      </c>
      <c r="M33" s="190" t="e">
        <f>M27+M19+M12+M31</f>
        <v>#DIV/0!</v>
      </c>
      <c r="N33" s="175" t="e">
        <f>N12+N19+N27+N31</f>
        <v>#DIV/0!</v>
      </c>
      <c r="O33" s="179"/>
      <c r="Q33" s="4">
        <v>28</v>
      </c>
      <c r="R33" s="169" t="e">
        <f t="shared" si="12"/>
        <v>#DIV/0!</v>
      </c>
      <c r="S33" s="212" t="e">
        <f t="shared" si="14"/>
        <v>#DIV/0!</v>
      </c>
      <c r="U33" s="4">
        <v>28</v>
      </c>
      <c r="V33" s="259" t="e">
        <f t="shared" si="0"/>
        <v>#DIV/0!</v>
      </c>
      <c r="W33" s="259" t="e">
        <f t="shared" si="1"/>
        <v>#DIV/0!</v>
      </c>
      <c r="Y33" s="4">
        <v>28</v>
      </c>
      <c r="Z33" s="1047" t="e">
        <f t="shared" si="2"/>
        <v>#DIV/0!</v>
      </c>
      <c r="AA33" s="169" t="e">
        <f t="shared" si="3"/>
        <v>#DIV/0!</v>
      </c>
      <c r="AC33" s="4">
        <v>28</v>
      </c>
      <c r="AD33" s="1047" t="e">
        <f t="shared" si="5"/>
        <v>#DIV/0!</v>
      </c>
      <c r="AE33" s="169" t="e">
        <f t="shared" si="6"/>
        <v>#DIV/0!</v>
      </c>
      <c r="AG33" s="4">
        <v>28</v>
      </c>
      <c r="AH33" s="1047" t="e">
        <f t="shared" si="7"/>
        <v>#DIV/0!</v>
      </c>
      <c r="AI33" s="169" t="e">
        <f t="shared" si="8"/>
        <v>#DIV/0!</v>
      </c>
      <c r="AK33" s="4">
        <v>28</v>
      </c>
      <c r="AL33" s="1047" t="e">
        <f t="shared" si="9"/>
        <v>#DIV/0!</v>
      </c>
      <c r="AM33" s="169" t="e">
        <f t="shared" si="10"/>
        <v>#DIV/0!</v>
      </c>
    </row>
    <row r="34" spans="2:39" ht="15" thickBot="1">
      <c r="B34" s="1494"/>
      <c r="C34" s="116">
        <f>'Basic - Teachers'!$J$46</f>
        <v>0</v>
      </c>
      <c r="D34" s="231">
        <f>IF(INSTRUCTIONS!Q7="Basic", 'Basic - Teachers'!$K$46)</f>
        <v>0</v>
      </c>
      <c r="E34" s="134">
        <f>IF(INSTRUCTIONS!Q7="Basic", 'Basic - Teachers'!$L$46)</f>
        <v>0</v>
      </c>
      <c r="F34" s="135">
        <f>IF(INSTRUCTIONS!Q7="Basic", 'Basic - Teachers'!$M$46)</f>
        <v>0</v>
      </c>
      <c r="K34" s="22"/>
      <c r="L34" s="22"/>
      <c r="M34" s="176"/>
      <c r="N34" s="28"/>
      <c r="O34" s="56"/>
      <c r="Q34" s="4">
        <v>29</v>
      </c>
      <c r="R34" s="169" t="e">
        <f t="shared" si="12"/>
        <v>#DIV/0!</v>
      </c>
      <c r="S34" s="212" t="e">
        <f t="shared" si="14"/>
        <v>#DIV/0!</v>
      </c>
      <c r="U34" s="4">
        <v>29</v>
      </c>
      <c r="V34" s="259" t="e">
        <f t="shared" si="0"/>
        <v>#DIV/0!</v>
      </c>
      <c r="W34" s="259" t="e">
        <f t="shared" si="1"/>
        <v>#DIV/0!</v>
      </c>
      <c r="Y34" s="4">
        <v>29</v>
      </c>
      <c r="Z34" s="1047" t="e">
        <f t="shared" si="2"/>
        <v>#DIV/0!</v>
      </c>
      <c r="AA34" s="169" t="e">
        <f t="shared" si="3"/>
        <v>#DIV/0!</v>
      </c>
      <c r="AC34" s="4">
        <v>29</v>
      </c>
      <c r="AD34" s="1047" t="e">
        <f t="shared" si="5"/>
        <v>#DIV/0!</v>
      </c>
      <c r="AE34" s="169" t="e">
        <f t="shared" si="6"/>
        <v>#DIV/0!</v>
      </c>
      <c r="AG34" s="4">
        <v>29</v>
      </c>
      <c r="AH34" s="1047" t="e">
        <f t="shared" si="7"/>
        <v>#DIV/0!</v>
      </c>
      <c r="AI34" s="169" t="e">
        <f t="shared" si="8"/>
        <v>#DIV/0!</v>
      </c>
      <c r="AK34" s="4">
        <v>29</v>
      </c>
      <c r="AL34" s="1047" t="e">
        <f t="shared" si="9"/>
        <v>#DIV/0!</v>
      </c>
      <c r="AM34" s="169" t="e">
        <f t="shared" si="10"/>
        <v>#DIV/0!</v>
      </c>
    </row>
    <row r="35" spans="2:39" ht="15" thickBot="1">
      <c r="B35" s="1494"/>
      <c r="C35" s="118">
        <f>'Basic - Teachers'!$J$47</f>
        <v>0</v>
      </c>
      <c r="D35" s="476">
        <f>IF(INSTRUCTIONS!Q7="Basic", 'Basic - Teachers'!$K$47)</f>
        <v>0</v>
      </c>
      <c r="E35" s="134">
        <f>IF(INSTRUCTIONS!Q7="Basic", 'Basic - Teachers'!$L$47)</f>
        <v>0</v>
      </c>
      <c r="F35" s="135">
        <f>IF(INSTRUCTIONS!Q7="Basic", 'Basic - Teachers'!$M$47)</f>
        <v>0</v>
      </c>
      <c r="K35" s="162" t="s">
        <v>91</v>
      </c>
      <c r="L35" s="23" t="s">
        <v>307</v>
      </c>
      <c r="M35" s="64">
        <v>0.8</v>
      </c>
      <c r="N35" s="197">
        <v>0.8</v>
      </c>
      <c r="O35" s="56"/>
      <c r="Q35" s="109">
        <v>30</v>
      </c>
      <c r="R35" s="68" t="e">
        <f t="shared" si="12"/>
        <v>#DIV/0!</v>
      </c>
      <c r="S35" s="171" t="e">
        <f t="shared" si="14"/>
        <v>#DIV/0!</v>
      </c>
      <c r="U35" s="109">
        <v>30</v>
      </c>
      <c r="V35" s="259" t="e">
        <f t="shared" si="0"/>
        <v>#DIV/0!</v>
      </c>
      <c r="W35" s="259" t="e">
        <f t="shared" si="1"/>
        <v>#DIV/0!</v>
      </c>
      <c r="Y35" s="109">
        <v>30</v>
      </c>
      <c r="Z35" s="1048" t="e">
        <f t="shared" si="2"/>
        <v>#DIV/0!</v>
      </c>
      <c r="AA35" s="68" t="e">
        <f t="shared" si="3"/>
        <v>#DIV/0!</v>
      </c>
      <c r="AC35" s="109">
        <v>30</v>
      </c>
      <c r="AD35" s="1048" t="e">
        <f t="shared" si="5"/>
        <v>#DIV/0!</v>
      </c>
      <c r="AE35" s="68" t="e">
        <f t="shared" si="6"/>
        <v>#DIV/0!</v>
      </c>
      <c r="AG35" s="109">
        <v>30</v>
      </c>
      <c r="AH35" s="1048" t="e">
        <f t="shared" si="7"/>
        <v>#DIV/0!</v>
      </c>
      <c r="AI35" s="68" t="e">
        <f t="shared" si="8"/>
        <v>#DIV/0!</v>
      </c>
      <c r="AK35" s="109">
        <v>30</v>
      </c>
      <c r="AL35" s="1048" t="e">
        <f t="shared" si="9"/>
        <v>#DIV/0!</v>
      </c>
      <c r="AM35" s="68" t="e">
        <f t="shared" si="10"/>
        <v>#DIV/0!</v>
      </c>
    </row>
    <row r="36" spans="2:39">
      <c r="B36" s="1494"/>
      <c r="C36" s="118">
        <f>'Basic - Teachers'!J48</f>
        <v>0</v>
      </c>
      <c r="D36" s="476">
        <f>IF(INSTRUCTIONS!$Q$7="Basic", 'Basic - Teachers'!K48)</f>
        <v>0</v>
      </c>
      <c r="E36" s="134">
        <f>IF(INSTRUCTIONS!$Q$7="Basic", 'Basic - Teachers'!L48)</f>
        <v>0</v>
      </c>
      <c r="F36" s="135">
        <f>IF(INSTRUCTIONS!$Q$7="Basic", 'Basic - Teachers'!M48)</f>
        <v>0</v>
      </c>
      <c r="K36" s="163"/>
      <c r="L36" s="24" t="s">
        <v>308</v>
      </c>
      <c r="M36" s="196"/>
      <c r="N36" s="198" t="e">
        <f>($D$18*(N24-N23))+($D$19*(N16-N24))+($D$20*(N9-N16))</f>
        <v>#DIV/0!</v>
      </c>
      <c r="O36" s="28"/>
    </row>
    <row r="37" spans="2:39">
      <c r="B37" s="1494"/>
      <c r="C37" s="118">
        <f>'Basic - Teachers'!J49</f>
        <v>0</v>
      </c>
      <c r="D37" s="476">
        <f>IF(INSTRUCTIONS!$Q$7="Basic", 'Basic - Teachers'!K49)</f>
        <v>0</v>
      </c>
      <c r="E37" s="134">
        <f>IF(INSTRUCTIONS!$Q$7="Basic", 'Basic - Teachers'!L49)</f>
        <v>0</v>
      </c>
      <c r="F37" s="135">
        <f>IF(INSTRUCTIONS!$Q$7="Basic", 'Basic - Teachers'!M49)</f>
        <v>0</v>
      </c>
      <c r="K37" s="163"/>
      <c r="L37" s="24" t="s">
        <v>309</v>
      </c>
      <c r="M37" s="196"/>
      <c r="N37" s="199" t="e">
        <f>N36+$D$16</f>
        <v>#DIV/0!</v>
      </c>
      <c r="O37" s="28"/>
    </row>
    <row r="38" spans="2:39">
      <c r="B38" s="1494"/>
      <c r="C38" s="118">
        <f>'Basic - Teachers'!J50</f>
        <v>0</v>
      </c>
      <c r="D38" s="476">
        <f>IF(INSTRUCTIONS!$Q$7="Basic", 'Basic - Teachers'!K50)</f>
        <v>0</v>
      </c>
      <c r="E38" s="134">
        <f>IF(INSTRUCTIONS!$Q$7="Basic", 'Basic - Teachers'!L50)</f>
        <v>0</v>
      </c>
      <c r="F38" s="135">
        <f>IF(INSTRUCTIONS!$Q$7="Basic", 'Basic - Teachers'!M50)</f>
        <v>0</v>
      </c>
      <c r="K38" s="163"/>
      <c r="L38" s="24" t="s">
        <v>310</v>
      </c>
      <c r="M38" s="191">
        <f>$D$13*M35</f>
        <v>0</v>
      </c>
      <c r="N38" s="51" t="e">
        <f>N37*N35</f>
        <v>#DIV/0!</v>
      </c>
      <c r="O38" s="33"/>
    </row>
    <row r="39" spans="2:39">
      <c r="B39" s="1494"/>
      <c r="C39" s="118">
        <f>'Basic - Teachers'!J51</f>
        <v>0</v>
      </c>
      <c r="D39" s="476">
        <f>IF(INSTRUCTIONS!$Q$7="Basic", 'Basic - Teachers'!K51)</f>
        <v>0</v>
      </c>
      <c r="E39" s="134">
        <f>IF(INSTRUCTIONS!$Q$7="Basic", 'Basic - Teachers'!L51)</f>
        <v>0</v>
      </c>
      <c r="F39" s="135">
        <f>IF(INSTRUCTIONS!$Q$7="Basic", 'Basic - Teachers'!M51)</f>
        <v>0</v>
      </c>
      <c r="K39" s="163"/>
      <c r="L39" s="24" t="s">
        <v>311</v>
      </c>
      <c r="M39" s="191">
        <f>IF(M38-$D$11&gt;0,M38-$D$11,0)</f>
        <v>0</v>
      </c>
      <c r="N39" s="51" t="e">
        <f>N38-$D$16</f>
        <v>#DIV/0!</v>
      </c>
      <c r="O39" s="33"/>
    </row>
    <row r="40" spans="2:39" ht="15" thickBot="1">
      <c r="B40" s="1494"/>
      <c r="C40" s="118">
        <f>'Basic - Teachers'!J52</f>
        <v>0</v>
      </c>
      <c r="D40" s="476">
        <f>IF(INSTRUCTIONS!$Q$7="Basic", 'Basic - Teachers'!K52)</f>
        <v>0</v>
      </c>
      <c r="E40" s="134">
        <f>IF(INSTRUCTIONS!$Q$7="Basic", 'Basic - Teachers'!L52)</f>
        <v>0</v>
      </c>
      <c r="F40" s="135">
        <f>IF(INSTRUCTIONS!$Q$7="Basic", 'Basic - Teachers'!M52)</f>
        <v>0</v>
      </c>
      <c r="K40" s="164"/>
      <c r="L40" s="25" t="s">
        <v>312</v>
      </c>
      <c r="M40" s="192">
        <f>IF(M39&gt;0,ROUNDUP(M39/$D$12,0),0)</f>
        <v>0</v>
      </c>
      <c r="N40" s="200" t="e">
        <f>N39/AVERAGE($D$18:$D$20)</f>
        <v>#DIV/0!</v>
      </c>
      <c r="O40" s="177"/>
    </row>
    <row r="41" spans="2:39" ht="15" thickBot="1">
      <c r="B41" s="1495"/>
      <c r="C41" s="119">
        <f>'Basic - Teachers'!J53</f>
        <v>0</v>
      </c>
      <c r="D41" s="477">
        <f>IF(INSTRUCTIONS!$Q$7="Basic", 'Basic - Teachers'!K53)</f>
        <v>0</v>
      </c>
      <c r="E41" s="136">
        <f>IF(INSTRUCTIONS!$Q$7="Basic", 'Basic - Teachers'!L53)</f>
        <v>0</v>
      </c>
      <c r="F41" s="137">
        <f>IF(INSTRUCTIONS!$Q$7="Basic", 'Basic - Teachers'!M53)</f>
        <v>0</v>
      </c>
      <c r="K41" s="22"/>
      <c r="L41" s="22"/>
      <c r="M41" s="176"/>
      <c r="N41" s="28"/>
      <c r="O41" s="177"/>
    </row>
    <row r="42" spans="2:39" ht="15" thickBot="1">
      <c r="B42" s="8"/>
      <c r="C42" s="139"/>
      <c r="D42" s="139"/>
      <c r="E42" s="140"/>
      <c r="F42" s="140"/>
      <c r="G42" s="140"/>
      <c r="K42" s="1462" t="s">
        <v>93</v>
      </c>
      <c r="L42" s="101" t="s">
        <v>313</v>
      </c>
      <c r="M42" s="202">
        <f>$E$25</f>
        <v>0</v>
      </c>
      <c r="N42" s="320">
        <f>F25</f>
        <v>0</v>
      </c>
      <c r="O42" s="33"/>
    </row>
    <row r="43" spans="2:39" ht="15" thickBot="1">
      <c r="B43" s="141"/>
      <c r="C43" s="142"/>
      <c r="D43" s="143" t="s">
        <v>85</v>
      </c>
      <c r="E43" s="144" t="s">
        <v>86</v>
      </c>
      <c r="F43" s="140"/>
      <c r="G43" s="140"/>
      <c r="K43" s="1463"/>
      <c r="L43" s="102" t="s">
        <v>314</v>
      </c>
      <c r="M43" s="201">
        <f>$E$24</f>
        <v>0</v>
      </c>
      <c r="N43" s="50">
        <f>F24</f>
        <v>0</v>
      </c>
      <c r="O43" s="33"/>
    </row>
    <row r="44" spans="2:39" ht="15" thickBot="1">
      <c r="B44" s="145" t="s">
        <v>101</v>
      </c>
      <c r="C44" s="126" t="s">
        <v>315</v>
      </c>
      <c r="D44" s="168">
        <f>IF(INSTRUCTIONS!Q7="Basic", 'Basic - Teachers'!$K$58)</f>
        <v>0</v>
      </c>
      <c r="E44" s="151">
        <f>IF(INSTRUCTIONS!Q7="Basic", 'Basic - Teachers'!$L$58)</f>
        <v>0</v>
      </c>
      <c r="F44" s="111"/>
      <c r="K44" s="1463"/>
      <c r="L44" s="101" t="s">
        <v>316</v>
      </c>
      <c r="M44" s="204">
        <f>$D$4*$D$24</f>
        <v>0</v>
      </c>
      <c r="N44" s="432">
        <f>$D$4*$D$24</f>
        <v>0</v>
      </c>
      <c r="O44" s="33"/>
    </row>
    <row r="45" spans="2:39" ht="15" thickBot="1">
      <c r="K45" s="1463"/>
      <c r="L45" s="103" t="s">
        <v>317</v>
      </c>
      <c r="M45" s="205">
        <f>$D$4*$D$25</f>
        <v>0</v>
      </c>
      <c r="N45" s="433">
        <f>$D$4*$D$25</f>
        <v>0</v>
      </c>
      <c r="O45" s="28"/>
    </row>
    <row r="46" spans="2:39" ht="15" thickBot="1">
      <c r="B46" s="93"/>
      <c r="C46" s="123"/>
      <c r="D46" s="125" t="s">
        <v>85</v>
      </c>
      <c r="E46" s="124" t="s">
        <v>86</v>
      </c>
      <c r="K46" s="1463"/>
      <c r="L46" s="193" t="s">
        <v>318</v>
      </c>
      <c r="M46" s="206">
        <f>M43*M44</f>
        <v>0</v>
      </c>
      <c r="N46" s="431">
        <f>N44*N43</f>
        <v>0</v>
      </c>
      <c r="O46" s="280"/>
    </row>
    <row r="47" spans="2:39" ht="15" thickBot="1">
      <c r="B47" s="1486" t="s">
        <v>319</v>
      </c>
      <c r="C47" s="5" t="s">
        <v>320</v>
      </c>
      <c r="D47" s="31">
        <f>IF(INSTRUCTIONS!Q7="Basic", 'Basic - Teachers'!$K$65)</f>
        <v>0</v>
      </c>
      <c r="E47" s="138">
        <f>IF(INSTRUCTIONS!Q7="Basic", 'Basic - Teachers'!$L$65)</f>
        <v>0</v>
      </c>
      <c r="K47" s="1463"/>
      <c r="L47" s="208" t="s">
        <v>321</v>
      </c>
      <c r="M47" s="207">
        <f>M42*M45</f>
        <v>0</v>
      </c>
      <c r="N47" s="431">
        <f>N45*N42</f>
        <v>0</v>
      </c>
      <c r="O47" s="281"/>
    </row>
    <row r="48" spans="2:39" ht="15" thickBot="1">
      <c r="B48" s="1487"/>
      <c r="C48" s="6" t="s">
        <v>82</v>
      </c>
      <c r="D48" s="43">
        <f>IF(INSTRUCTIONS!Q7="Basic", 'Basic - Teachers'!$K$64)</f>
        <v>0</v>
      </c>
      <c r="E48" s="120">
        <f>IF(INSTRUCTIONS!Q7="Basic", 'Basic - Teachers'!$L$64)</f>
        <v>0</v>
      </c>
      <c r="K48" s="1463"/>
      <c r="L48" s="193" t="s">
        <v>301</v>
      </c>
      <c r="M48" s="203">
        <f>M46+M47</f>
        <v>0</v>
      </c>
      <c r="N48" s="50">
        <f>SUM(N46:N47)</f>
        <v>0</v>
      </c>
      <c r="O48" s="28"/>
    </row>
    <row r="49" spans="2:15" ht="15" thickBot="1">
      <c r="B49" s="8"/>
      <c r="C49" s="20"/>
      <c r="D49" s="122"/>
      <c r="E49" s="139"/>
      <c r="K49" s="1464"/>
      <c r="L49" s="48" t="s">
        <v>322</v>
      </c>
      <c r="M49" s="209"/>
      <c r="N49" s="174">
        <f>M48-N48</f>
        <v>0</v>
      </c>
      <c r="O49" s="177"/>
    </row>
    <row r="50" spans="2:15" ht="15" thickBot="1">
      <c r="B50" s="265"/>
      <c r="C50" s="444"/>
      <c r="D50" s="451" t="s">
        <v>323</v>
      </c>
      <c r="E50" s="449" t="s">
        <v>324</v>
      </c>
      <c r="F50" s="450" t="s">
        <v>325</v>
      </c>
      <c r="G50" s="452" t="s">
        <v>326</v>
      </c>
      <c r="K50" s="22"/>
      <c r="L50" s="22"/>
      <c r="M50" s="28"/>
      <c r="N50" s="28"/>
      <c r="O50" s="33"/>
    </row>
    <row r="51" spans="2:15">
      <c r="B51" s="1491" t="s">
        <v>319</v>
      </c>
      <c r="C51" s="445">
        <f>'Basic - Teachers'!J71</f>
        <v>0</v>
      </c>
      <c r="D51" s="453">
        <f>'Basic - Teachers'!K71</f>
        <v>0</v>
      </c>
      <c r="E51" s="288">
        <f>'Basic - Teachers'!M71</f>
        <v>0</v>
      </c>
      <c r="F51" s="106">
        <f>'Basic - Teachers'!L71</f>
        <v>0</v>
      </c>
      <c r="G51" s="17">
        <f>'Basic - Teachers'!N71</f>
        <v>0</v>
      </c>
      <c r="K51" s="1481" t="s">
        <v>319</v>
      </c>
      <c r="L51" s="23" t="s">
        <v>327</v>
      </c>
      <c r="M51" s="54">
        <f>$D$4*$D$48</f>
        <v>0</v>
      </c>
      <c r="N51" s="173">
        <f>$E$48*$D$4</f>
        <v>0</v>
      </c>
      <c r="O51" s="177"/>
    </row>
    <row r="52" spans="2:15" ht="15" thickBot="1">
      <c r="B52" s="1491"/>
      <c r="C52" s="446">
        <f>'Basic - Teachers'!J72</f>
        <v>0</v>
      </c>
      <c r="D52" s="454">
        <f>'Basic - Teachers'!K72</f>
        <v>0</v>
      </c>
      <c r="E52" s="288">
        <f>'Basic - Teachers'!M72</f>
        <v>0</v>
      </c>
      <c r="F52" s="227">
        <f>'Basic - Teachers'!L72</f>
        <v>0</v>
      </c>
      <c r="G52" s="19">
        <f>'Basic - Teachers'!N72</f>
        <v>0</v>
      </c>
      <c r="K52" s="1482"/>
      <c r="L52" s="6" t="s">
        <v>328</v>
      </c>
      <c r="M52" s="40">
        <f>M51*$D$47</f>
        <v>0</v>
      </c>
      <c r="N52" s="174">
        <f>$E$47*N51</f>
        <v>0</v>
      </c>
      <c r="O52" s="33"/>
    </row>
    <row r="53" spans="2:15" ht="15" thickBot="1">
      <c r="B53" s="1491"/>
      <c r="C53" s="446">
        <f>'Basic - Teachers'!J73</f>
        <v>0</v>
      </c>
      <c r="D53" s="454">
        <f>'Basic - Teachers'!K73</f>
        <v>0</v>
      </c>
      <c r="E53" s="288">
        <f>'Basic - Teachers'!M73</f>
        <v>0</v>
      </c>
      <c r="F53" s="227">
        <f>'Basic - Teachers'!L73</f>
        <v>0</v>
      </c>
      <c r="G53" s="19">
        <f>'Basic - Teachers'!N73</f>
        <v>0</v>
      </c>
      <c r="K53" s="8"/>
      <c r="L53" s="20"/>
      <c r="M53" s="33"/>
      <c r="N53" s="33"/>
      <c r="O53" s="33"/>
    </row>
    <row r="54" spans="2:15">
      <c r="B54" s="1491"/>
      <c r="C54" s="446">
        <f>'Basic - Teachers'!J74</f>
        <v>0</v>
      </c>
      <c r="D54" s="454">
        <f>'Basic - Teachers'!K74</f>
        <v>0</v>
      </c>
      <c r="E54" s="288">
        <f>'Basic - Teachers'!M74</f>
        <v>0</v>
      </c>
      <c r="F54" s="227">
        <f>'Basic - Teachers'!L74</f>
        <v>0</v>
      </c>
      <c r="G54" s="19">
        <f>'Basic - Teachers'!N74</f>
        <v>0</v>
      </c>
      <c r="K54" s="1486" t="s">
        <v>329</v>
      </c>
      <c r="L54" s="2" t="s">
        <v>330</v>
      </c>
      <c r="M54" s="320">
        <f t="shared" ref="M54:N58" si="15">F51*D51</f>
        <v>0</v>
      </c>
      <c r="N54" s="45">
        <f t="shared" si="15"/>
        <v>0</v>
      </c>
      <c r="O54" s="33"/>
    </row>
    <row r="55" spans="2:15" ht="15" thickBot="1">
      <c r="B55" s="1482"/>
      <c r="C55" s="447">
        <f>'Basic - Teachers'!J75</f>
        <v>0</v>
      </c>
      <c r="D55" s="455">
        <f>'Basic - Teachers'!K75</f>
        <v>0</v>
      </c>
      <c r="E55" s="422">
        <f>'Basic - Teachers'!M75</f>
        <v>0</v>
      </c>
      <c r="F55" s="228">
        <f>'Basic - Teachers'!L75</f>
        <v>0</v>
      </c>
      <c r="G55" s="18">
        <f>'Basic - Teachers'!N75</f>
        <v>0</v>
      </c>
      <c r="K55" s="1492"/>
      <c r="L55" s="20" t="s">
        <v>331</v>
      </c>
      <c r="M55" s="50">
        <f t="shared" si="15"/>
        <v>0</v>
      </c>
      <c r="N55" s="41">
        <f t="shared" si="15"/>
        <v>0</v>
      </c>
      <c r="O55" s="33"/>
    </row>
    <row r="56" spans="2:15">
      <c r="B56" s="8"/>
      <c r="C56" s="20"/>
      <c r="D56" s="28"/>
      <c r="F56" s="282"/>
      <c r="G56" s="282"/>
      <c r="K56" s="1492"/>
      <c r="L56" s="20" t="s">
        <v>332</v>
      </c>
      <c r="M56" s="50">
        <f t="shared" si="15"/>
        <v>0</v>
      </c>
      <c r="N56" s="41">
        <f t="shared" si="15"/>
        <v>0</v>
      </c>
      <c r="O56" s="33"/>
    </row>
    <row r="57" spans="2:15" ht="15" thickBot="1">
      <c r="B57" s="8"/>
      <c r="C57" s="20"/>
      <c r="D57" s="122"/>
      <c r="K57" s="1492"/>
      <c r="L57" s="20" t="s">
        <v>333</v>
      </c>
      <c r="M57" s="50">
        <f t="shared" si="15"/>
        <v>0</v>
      </c>
      <c r="N57" s="41">
        <f t="shared" si="15"/>
        <v>0</v>
      </c>
      <c r="O57" s="33"/>
    </row>
    <row r="58" spans="2:15" ht="15" thickBot="1">
      <c r="B58" s="127"/>
      <c r="C58" s="128"/>
      <c r="D58" s="129" t="s">
        <v>334</v>
      </c>
      <c r="E58" s="124" t="s">
        <v>86</v>
      </c>
      <c r="K58" s="1492"/>
      <c r="L58" s="20" t="s">
        <v>335</v>
      </c>
      <c r="M58" s="50">
        <f t="shared" si="15"/>
        <v>0</v>
      </c>
      <c r="N58" s="41">
        <f t="shared" si="15"/>
        <v>0</v>
      </c>
      <c r="O58" s="33"/>
    </row>
    <row r="59" spans="2:15" ht="29.45" thickBot="1">
      <c r="B59" s="1488" t="s">
        <v>336</v>
      </c>
      <c r="C59" s="5" t="s">
        <v>337</v>
      </c>
      <c r="D59" s="31">
        <f>IF(INSTRUCTIONS!Q7="Basic", 'Basic - Teachers'!$K$83)</f>
        <v>0</v>
      </c>
      <c r="E59" s="138">
        <f>IF(INSTRUCTIONS!Q7="Basic", 'Basic - Teachers'!$L$83)</f>
        <v>0</v>
      </c>
      <c r="K59" s="1487"/>
      <c r="L59" s="456" t="s">
        <v>338</v>
      </c>
      <c r="M59" s="174">
        <f>SUM(M54:M58)</f>
        <v>0</v>
      </c>
      <c r="N59" s="40">
        <f>SUM(N54:N58)</f>
        <v>0</v>
      </c>
      <c r="O59" s="33"/>
    </row>
    <row r="60" spans="2:15">
      <c r="B60" s="1489"/>
      <c r="C60" s="7" t="s">
        <v>339</v>
      </c>
      <c r="D60" s="44">
        <f>IF(INSTRUCTIONS!Q7="Basic", 'Basic - Teachers'!$K$82)</f>
        <v>0</v>
      </c>
      <c r="E60" s="16">
        <f>IF(INSTRUCTIONS!Q7="Basic", 'Basic - Teachers'!L82)</f>
        <v>0</v>
      </c>
      <c r="K60" s="8"/>
      <c r="L60" s="20"/>
      <c r="M60" s="33"/>
      <c r="N60" s="33"/>
      <c r="O60" s="28"/>
    </row>
    <row r="61" spans="2:15" ht="29.45" thickBot="1">
      <c r="B61" s="1489"/>
      <c r="C61" s="7" t="s">
        <v>340</v>
      </c>
      <c r="D61" s="32">
        <f>IF(INSTRUCTIONS!Q7="Basic", 'Basic - Teachers'!$K$87)</f>
        <v>0</v>
      </c>
      <c r="E61" s="134">
        <f>IF(INSTRUCTIONS!Q7="Basic", 'Basic - Teachers'!$L$87)</f>
        <v>0</v>
      </c>
      <c r="K61" s="22"/>
      <c r="L61" s="22"/>
      <c r="M61" s="28"/>
      <c r="N61" s="28"/>
      <c r="O61" s="180"/>
    </row>
    <row r="62" spans="2:15" ht="15" thickBot="1">
      <c r="B62" s="1490"/>
      <c r="C62" s="6" t="s">
        <v>341</v>
      </c>
      <c r="D62" s="34">
        <f>IF(INSTRUCTIONS!Q7="Basic", 'Basic - Teachers'!$K$86)</f>
        <v>0</v>
      </c>
      <c r="E62" s="120">
        <f>IF(INSTRUCTIONS!Q7="Basic", 'Basic - Teachers'!L86)</f>
        <v>0</v>
      </c>
      <c r="K62" s="1483" t="s">
        <v>336</v>
      </c>
      <c r="L62" s="23" t="s">
        <v>342</v>
      </c>
      <c r="M62" s="54">
        <f>$D$4*$D$60</f>
        <v>0</v>
      </c>
      <c r="N62" s="173">
        <f>$E$60*$D$4</f>
        <v>0</v>
      </c>
      <c r="O62" s="181"/>
    </row>
    <row r="63" spans="2:15" ht="15" thickBot="1">
      <c r="B63" s="22"/>
      <c r="C63" s="22"/>
      <c r="D63" s="28"/>
      <c r="K63" s="1484"/>
      <c r="L63" s="7" t="s">
        <v>343</v>
      </c>
      <c r="M63" s="41">
        <f>M62*$D$59</f>
        <v>0</v>
      </c>
      <c r="N63" s="50">
        <f>$E$59*N62</f>
        <v>0</v>
      </c>
      <c r="O63" s="180"/>
    </row>
    <row r="64" spans="2:15">
      <c r="B64" s="1445" t="s">
        <v>54</v>
      </c>
      <c r="C64" s="108" t="s">
        <v>76</v>
      </c>
      <c r="D64" s="15">
        <f>'Basic - Teachers'!$U$11</f>
        <v>0</v>
      </c>
      <c r="K64" s="1484"/>
      <c r="L64" s="24" t="s">
        <v>344</v>
      </c>
      <c r="M64" s="53">
        <f>$D$4*$D$62</f>
        <v>0</v>
      </c>
      <c r="N64" s="113">
        <f>$E$62*$D$4</f>
        <v>0</v>
      </c>
      <c r="O64" s="33"/>
    </row>
    <row r="65" spans="2:15">
      <c r="B65" s="1446"/>
      <c r="C65" s="4" t="s">
        <v>345</v>
      </c>
      <c r="D65" s="213">
        <f>'Basic - Teachers'!$U$12</f>
        <v>0</v>
      </c>
      <c r="K65" s="1484"/>
      <c r="L65" s="7" t="s">
        <v>346</v>
      </c>
      <c r="M65" s="41">
        <f>M64*$D$61</f>
        <v>0</v>
      </c>
      <c r="N65" s="50">
        <f>$E$61*N64</f>
        <v>0</v>
      </c>
      <c r="O65" s="180"/>
    </row>
    <row r="66" spans="2:15" ht="15" thickBot="1">
      <c r="B66" s="1446"/>
      <c r="C66" s="4" t="s">
        <v>347</v>
      </c>
      <c r="D66" s="213">
        <f>'Basic - Teachers'!$U$13</f>
        <v>0</v>
      </c>
      <c r="K66" s="1485"/>
      <c r="L66" s="6" t="s">
        <v>348</v>
      </c>
      <c r="M66" s="40">
        <f>M63+M65</f>
        <v>0</v>
      </c>
      <c r="N66" s="174">
        <f>N63+N65</f>
        <v>0</v>
      </c>
      <c r="O66" s="181"/>
    </row>
    <row r="67" spans="2:15" ht="15" thickBot="1">
      <c r="B67" s="1446"/>
      <c r="C67" s="4" t="s">
        <v>349</v>
      </c>
      <c r="D67" s="16">
        <f>'Basic - Teachers'!$U$14</f>
        <v>0</v>
      </c>
      <c r="K67" s="22"/>
      <c r="L67" s="22"/>
      <c r="M67" s="28"/>
      <c r="N67" s="28"/>
      <c r="O67" s="180"/>
    </row>
    <row r="68" spans="2:15" ht="15" thickBot="1">
      <c r="B68" s="1447"/>
      <c r="C68" s="69" t="s">
        <v>350</v>
      </c>
      <c r="D68" s="216">
        <f>'Basic - Teachers'!$U$15</f>
        <v>0</v>
      </c>
      <c r="K68" s="1493" t="s">
        <v>101</v>
      </c>
      <c r="L68" s="37" t="str">
        <f>CONCATENATE("Total # of ",C33," teachers")</f>
        <v>Total # of 0 teachers</v>
      </c>
      <c r="M68" s="147">
        <f>$D$4*$D$33</f>
        <v>0</v>
      </c>
      <c r="N68" s="147">
        <f>$D$4*$D$33</f>
        <v>0</v>
      </c>
      <c r="O68" s="181"/>
    </row>
    <row r="69" spans="2:15">
      <c r="K69" s="1494"/>
      <c r="L69" s="66" t="str">
        <f>CONCATENATE("Total spending on ",C33," teachers")</f>
        <v>Total spending on 0 teachers</v>
      </c>
      <c r="M69" s="148">
        <f>M68*$E$33</f>
        <v>0</v>
      </c>
      <c r="N69" s="148">
        <f>$F$33*N68</f>
        <v>0</v>
      </c>
      <c r="O69" s="182"/>
    </row>
    <row r="70" spans="2:15">
      <c r="K70" s="1494"/>
      <c r="L70" s="66" t="str">
        <f>CONCATENATE("Total # of ",C34," teachers")</f>
        <v>Total # of 0 teachers</v>
      </c>
      <c r="M70" s="149">
        <f>$D$4*$D$34</f>
        <v>0</v>
      </c>
      <c r="N70" s="149">
        <f>$D$4*$D$34</f>
        <v>0</v>
      </c>
      <c r="O70" s="183"/>
    </row>
    <row r="71" spans="2:15">
      <c r="K71" s="1494"/>
      <c r="L71" s="66" t="str">
        <f>CONCATENATE("Total spending on ",C34," teachers")</f>
        <v>Total spending on 0 teachers</v>
      </c>
      <c r="M71" s="50">
        <f>M70*$E$34</f>
        <v>0</v>
      </c>
      <c r="N71" s="50">
        <f>$F$34*N70</f>
        <v>0</v>
      </c>
    </row>
    <row r="72" spans="2:15">
      <c r="K72" s="1494"/>
      <c r="L72" s="66" t="str">
        <f>CONCATENATE("Total # of ",C35," teachers")</f>
        <v>Total # of 0 teachers</v>
      </c>
      <c r="M72" s="149">
        <f>$D$4*$D$35</f>
        <v>0</v>
      </c>
      <c r="N72" s="149">
        <f>$D$4*$D$35</f>
        <v>0</v>
      </c>
      <c r="O72" s="112"/>
    </row>
    <row r="73" spans="2:15">
      <c r="K73" s="1494"/>
      <c r="L73" s="66" t="str">
        <f>CONCATENATE("Total spending on ",C35," teachers")</f>
        <v>Total spending on 0 teachers</v>
      </c>
      <c r="M73" s="148">
        <f>M72*$E$35</f>
        <v>0</v>
      </c>
      <c r="N73" s="50">
        <f>$F$35*N72</f>
        <v>0</v>
      </c>
    </row>
    <row r="74" spans="2:15">
      <c r="K74" s="1494"/>
      <c r="L74" s="66" t="str">
        <f>CONCATENATE("Total # of ",C36," teachers")</f>
        <v>Total # of 0 teachers</v>
      </c>
      <c r="M74" s="149">
        <f>$D$4*$D$36</f>
        <v>0</v>
      </c>
      <c r="N74" s="149">
        <f>$D$4*$D$36</f>
        <v>0</v>
      </c>
      <c r="O74" s="112"/>
    </row>
    <row r="75" spans="2:15">
      <c r="K75" s="1494"/>
      <c r="L75" s="66" t="str">
        <f>CONCATENATE("Total spending on ",C36," teachers")</f>
        <v>Total spending on 0 teachers</v>
      </c>
      <c r="M75" s="148">
        <f>M74*$E$36</f>
        <v>0</v>
      </c>
      <c r="N75" s="50">
        <f>$F$36*N74</f>
        <v>0</v>
      </c>
      <c r="O75" s="99"/>
    </row>
    <row r="76" spans="2:15">
      <c r="K76" s="1494"/>
      <c r="L76" s="66" t="str">
        <f>CONCATENATE("Total # of ",C37," teachers")</f>
        <v>Total # of 0 teachers</v>
      </c>
      <c r="M76" s="474">
        <f>$D$37*$D$4</f>
        <v>0</v>
      </c>
      <c r="N76" s="474">
        <f>$D$37*$D$4</f>
        <v>0</v>
      </c>
    </row>
    <row r="77" spans="2:15">
      <c r="K77" s="1494"/>
      <c r="L77" s="66" t="str">
        <f>CONCATENATE("Total spending on ",C37," teachers")</f>
        <v>Total spending on 0 teachers</v>
      </c>
      <c r="M77" s="148">
        <f>M76*E37</f>
        <v>0</v>
      </c>
      <c r="N77" s="50">
        <f>N76*F37</f>
        <v>0</v>
      </c>
    </row>
    <row r="78" spans="2:15">
      <c r="K78" s="1494"/>
      <c r="L78" s="66" t="str">
        <f>CONCATENATE("Total # of ",C38," teachers")</f>
        <v>Total # of 0 teachers</v>
      </c>
      <c r="M78" s="474">
        <f>$D$38*$D$4</f>
        <v>0</v>
      </c>
      <c r="N78" s="474">
        <f>$D$38*$D$4</f>
        <v>0</v>
      </c>
    </row>
    <row r="79" spans="2:15">
      <c r="K79" s="1494"/>
      <c r="L79" s="66" t="str">
        <f>CONCATENATE("Total spending on ",C38," teachers")</f>
        <v>Total spending on 0 teachers</v>
      </c>
      <c r="M79" s="148">
        <f>M78*E38</f>
        <v>0</v>
      </c>
      <c r="N79" s="148">
        <f>N78*F38</f>
        <v>0</v>
      </c>
    </row>
    <row r="80" spans="2:15">
      <c r="K80" s="1494"/>
      <c r="L80" s="66" t="str">
        <f>CONCATENATE("Total # of ",C39," teachers")</f>
        <v>Total # of 0 teachers</v>
      </c>
      <c r="M80" s="474">
        <f>$D$39*$D$4</f>
        <v>0</v>
      </c>
      <c r="N80" s="474">
        <f>$D$39*$D$4</f>
        <v>0</v>
      </c>
    </row>
    <row r="81" spans="11:14">
      <c r="K81" s="1494"/>
      <c r="L81" s="66" t="str">
        <f>CONCATENATE("Total spending on ",C39," teachers")</f>
        <v>Total spending on 0 teachers</v>
      </c>
      <c r="M81" s="148">
        <f>M80*E39</f>
        <v>0</v>
      </c>
      <c r="N81" s="148">
        <f>N80*F39</f>
        <v>0</v>
      </c>
    </row>
    <row r="82" spans="11:14">
      <c r="K82" s="1494"/>
      <c r="L82" s="66" t="str">
        <f>CONCATENATE("Total # of ",C40," teachers")</f>
        <v>Total # of 0 teachers</v>
      </c>
      <c r="M82" s="474">
        <f>$D$40*$D$4</f>
        <v>0</v>
      </c>
      <c r="N82" s="474">
        <f>$D$40*$D$4</f>
        <v>0</v>
      </c>
    </row>
    <row r="83" spans="11:14">
      <c r="K83" s="1494"/>
      <c r="L83" s="66" t="str">
        <f>CONCATENATE("Total spending on ",C40," teachers")</f>
        <v>Total spending on 0 teachers</v>
      </c>
      <c r="M83" s="148">
        <f>M82*E40</f>
        <v>0</v>
      </c>
      <c r="N83" s="148">
        <f>N82*F40</f>
        <v>0</v>
      </c>
    </row>
    <row r="84" spans="11:14">
      <c r="K84" s="1494"/>
      <c r="L84" s="66" t="str">
        <f>CONCATENATE("Total # of ",C41," teachers")</f>
        <v>Total # of 0 teachers</v>
      </c>
      <c r="M84" s="474">
        <f>$D$41*$D$4</f>
        <v>0</v>
      </c>
      <c r="N84" s="474">
        <f>$D$41*$D$4</f>
        <v>0</v>
      </c>
    </row>
    <row r="85" spans="11:14">
      <c r="K85" s="1494"/>
      <c r="L85" s="66" t="str">
        <f>CONCATENATE("Total spending on ",C41," teachers")</f>
        <v>Total spending on 0 teachers</v>
      </c>
      <c r="M85" s="148">
        <f>M84*E41</f>
        <v>0</v>
      </c>
      <c r="N85" s="148">
        <f>N84*F41</f>
        <v>0</v>
      </c>
    </row>
    <row r="86" spans="11:14">
      <c r="K86" s="1494"/>
      <c r="L86" s="66" t="s">
        <v>351</v>
      </c>
      <c r="M86" s="150">
        <f>SUMIF(M69, "&gt;0", M68) + SUMIF(M71, "&gt;0", M70) + SUMIF(M73, "&gt;0", M72) + SUMIF(M75, "&gt;0", M74)+SUMIF(M77, "&gt;0", M76)+SUMIF(M79, "&gt;0", M78)+SUMIF(M81, "&gt;0", M80)+SUMIF(M83, "&gt;0", M82)+SUMIF(M85, "&gt;0", M84)</f>
        <v>0</v>
      </c>
      <c r="N86" s="150">
        <f>SUMIF(N69, "&gt;0", N68) + SUMIF(N71, "&gt;0", N70) + SUMIF(N73, "&gt;0", N72) + SUMIF(N75, "&gt;0", N74)+SUMIF(N77, "&gt;0", N76)+SUMIF(N79, "&gt;0", N78)+SUMIF(N81, "&gt;0", N80)+SUMIF(N83, "&gt;0", N82)+SUMIF(N85, "&gt;0", N84)</f>
        <v>0</v>
      </c>
    </row>
    <row r="87" spans="11:14" ht="15" thickBot="1">
      <c r="K87" s="1495"/>
      <c r="L87" s="146" t="s">
        <v>352</v>
      </c>
      <c r="M87" s="61">
        <f>SUMIF(M68, "&gt;0", M69) + SUMIF(M70, "&gt;0", M71) + SUMIF(M72, "&gt;0", M73) + SUMIF(M74, "&gt;0", M75)+SUMIF(M76, "&gt;0", M77)+SUMIF(M78, "&gt;0", M79)+SUMIF(M80, "&gt;0", M81)+SUMIF(M82, "&gt;0", M83)+SUMIF(M84, "&gt;0", M85)</f>
        <v>0</v>
      </c>
      <c r="N87" s="61">
        <f>SUMIF(N68, "&gt;0", N69) + SUMIF(N70, "&gt;0", N71) + SUMIF(N72, "&gt;0", N73) + SUMIF(N74, "&gt;0", N75)+SUMIF(N76, "&gt;0", N77)+SUMIF(N78, "&gt;0", N79)+SUMIF(N80, "&gt;0", N81)+SUMIF(N82, "&gt;0", N83)+SUMIF(N84, "&gt;0", N85)</f>
        <v>0</v>
      </c>
    </row>
    <row r="88" spans="11:14" ht="15" thickBot="1"/>
    <row r="89" spans="11:14">
      <c r="K89" s="1468" t="s">
        <v>103</v>
      </c>
      <c r="L89" s="89" t="s">
        <v>353</v>
      </c>
      <c r="M89" s="170" t="e">
        <f>$D$14*SUM(M4, M33, M48)</f>
        <v>#DIV/0!</v>
      </c>
      <c r="N89" s="263" t="e">
        <f>$D$14*SUM(N4, N33, N48)</f>
        <v>#DIV/0!</v>
      </c>
    </row>
    <row r="90" spans="11:14">
      <c r="K90" s="1469"/>
      <c r="L90" s="22" t="s">
        <v>354</v>
      </c>
      <c r="M90" s="354">
        <f>0.5*$D$14*(SUM(M52,M66,M87))</f>
        <v>0</v>
      </c>
      <c r="N90" s="385">
        <f>0.5*$D$14*(SUM(N52, N66, N87))</f>
        <v>0</v>
      </c>
    </row>
    <row r="91" spans="11:14" ht="15" thickBot="1">
      <c r="K91" s="1470"/>
      <c r="L91" s="97" t="s">
        <v>355</v>
      </c>
      <c r="M91" s="240" t="e">
        <f>SUM(M89:M90)</f>
        <v>#DIV/0!</v>
      </c>
      <c r="N91" s="235" t="e">
        <f>SUM(N89:N90)</f>
        <v>#DIV/0!</v>
      </c>
    </row>
    <row r="92" spans="11:14" ht="15" thickBot="1"/>
    <row r="93" spans="11:14">
      <c r="K93" s="1471" t="s">
        <v>356</v>
      </c>
      <c r="L93" s="152" t="s">
        <v>357</v>
      </c>
      <c r="M93" s="170" t="e">
        <f>SUM(M4,M33, M48, M52, M66, M87, M91, M59)</f>
        <v>#DIV/0!</v>
      </c>
      <c r="N93" s="263" t="e">
        <f>SUM(N4, N33, N48, N52, N66, N87, N91, N59)</f>
        <v>#DIV/0!</v>
      </c>
    </row>
    <row r="94" spans="11:14">
      <c r="K94" s="1472"/>
      <c r="L94" s="153" t="s">
        <v>358</v>
      </c>
      <c r="M94" s="184" t="e">
        <f>SUM(M4, M33, M48, M52, M66, M87)</f>
        <v>#DIV/0!</v>
      </c>
      <c r="N94" s="264" t="e">
        <f>SUM(N4, N33, N48, N52, N66, N87)</f>
        <v>#DIV/0!</v>
      </c>
    </row>
    <row r="95" spans="11:14">
      <c r="K95" s="1472"/>
      <c r="L95" s="153" t="s">
        <v>359</v>
      </c>
      <c r="M95" s="212" t="e">
        <f>SUM(M4, M33, M48, M52, M66, M87)/$D$4</f>
        <v>#DIV/0!</v>
      </c>
      <c r="N95" s="169" t="e">
        <f>N94/D4</f>
        <v>#DIV/0!</v>
      </c>
    </row>
    <row r="96" spans="11:14" ht="15" thickBot="1">
      <c r="K96" s="1473"/>
      <c r="L96" s="90" t="s">
        <v>360</v>
      </c>
      <c r="M96" s="171" t="e">
        <f>SUM(M4, M12, M20, M28, M48)/$D$4</f>
        <v>#DIV/0!</v>
      </c>
      <c r="N96" s="68" t="e">
        <f>SUM(N4, N12, N20, N28, N48)/$D$4</f>
        <v>#DIV/0!</v>
      </c>
    </row>
    <row r="97" spans="11:42" ht="15" thickBot="1"/>
    <row r="98" spans="11:42" ht="15" thickBot="1">
      <c r="K98" s="10"/>
      <c r="L98" s="89"/>
      <c r="M98" s="125" t="s">
        <v>170</v>
      </c>
      <c r="N98" s="125" t="s">
        <v>171</v>
      </c>
      <c r="O98" s="125" t="s">
        <v>172</v>
      </c>
      <c r="P98" s="125" t="s">
        <v>173</v>
      </c>
      <c r="Q98" s="125" t="s">
        <v>174</v>
      </c>
      <c r="R98" s="222" t="s">
        <v>361</v>
      </c>
      <c r="S98"/>
      <c r="AP98" s="98"/>
    </row>
    <row r="99" spans="11:42">
      <c r="K99" s="1445" t="s">
        <v>362</v>
      </c>
      <c r="L99" s="108" t="s">
        <v>363</v>
      </c>
      <c r="M99" s="70">
        <f>$D$64*$D$4*(_xlfn.XLOOKUP($D$65,$U$5:$U$35,$W$5:$W$35)-_xlfn.XLOOKUP($D$66, $U$5:$U$35, $W$5:$W$35))</f>
        <v>0</v>
      </c>
      <c r="N99" s="70">
        <f>$D$64*$D$4*(_xlfn.XLOOKUP($D$65,$Y$5:$Y$35,$AA$5:$AA$35)-_xlfn.XLOOKUP($D$66, $Y$5:$Y$35, $AA$5:$AA$35))</f>
        <v>0</v>
      </c>
      <c r="O99" s="70">
        <f>$D$64*$D$4*(_xlfn.XLOOKUP($D$65,$AC$5:$AC$35,$AE$5:$AE$35)-_xlfn.XLOOKUP($D$66, $AC$5:$AC$35, $AE$5:$AE$35))</f>
        <v>0</v>
      </c>
      <c r="P99" s="211">
        <f>$D$64*$D$4*(_xlfn.XLOOKUP($D$65,$AG$5:$AG$35,$AI$5:$AI$35)-_xlfn.XLOOKUP($D$66, $AG$5:$AG$35, $AI$5:$AI$35))</f>
        <v>0</v>
      </c>
      <c r="Q99" s="1044">
        <f>$D$64*$D$4*(_xlfn.XLOOKUP($D$65,$AK$5:$AK$35,$AM$5:$AM$35)-_xlfn.XLOOKUP($D$66, $AK$5:$AK$35, $AM$5:$AM$35))</f>
        <v>0</v>
      </c>
      <c r="R99" s="211">
        <f>SUM(M99:P99)</f>
        <v>0</v>
      </c>
      <c r="S99"/>
      <c r="AP99" s="98"/>
    </row>
    <row r="100" spans="11:42">
      <c r="K100" s="1446"/>
      <c r="L100" s="4" t="s">
        <v>364</v>
      </c>
      <c r="M100" s="184" t="e">
        <f>$D$67*$N$94</f>
        <v>#DIV/0!</v>
      </c>
      <c r="N100" s="264" t="e">
        <f>SUM(N94,M100)*$D$67</f>
        <v>#DIV/0!</v>
      </c>
      <c r="O100" s="264" t="e">
        <f>SUM(N94, M100:N100)*$D$67</f>
        <v>#DIV/0!</v>
      </c>
      <c r="P100" s="184" t="e">
        <f>SUM(N94, M100:O100)*$D$67</f>
        <v>#DIV/0!</v>
      </c>
      <c r="Q100" s="258" t="e">
        <f>SUM(N94, M100:P100)*$D$67</f>
        <v>#DIV/0!</v>
      </c>
      <c r="R100" s="212" t="e">
        <f>SUM(M100:Q100)</f>
        <v>#DIV/0!</v>
      </c>
      <c r="S100"/>
      <c r="AP100" s="98"/>
    </row>
    <row r="101" spans="11:42" ht="15" thickBot="1">
      <c r="K101" s="1446"/>
      <c r="L101" s="4" t="s">
        <v>365</v>
      </c>
      <c r="M101" s="354" t="e">
        <f>$D$68*$N$91</f>
        <v>#DIV/0!</v>
      </c>
      <c r="N101" s="385" t="e">
        <f>SUM(N91, M101)*$D$68</f>
        <v>#DIV/0!</v>
      </c>
      <c r="O101" s="385" t="e">
        <f>SUM(N91, M101:N101)*$D$68</f>
        <v>#DIV/0!</v>
      </c>
      <c r="P101" s="218" t="e">
        <f>SUM(N91, M101:O101)*$D$68</f>
        <v>#DIV/0!</v>
      </c>
      <c r="Q101" s="1041" t="e">
        <f>SUM(N91, M101:P101)*$D$68</f>
        <v>#DIV/0!</v>
      </c>
      <c r="R101" s="171" t="e">
        <f>SUM(M101:Q101)</f>
        <v>#DIV/0!</v>
      </c>
      <c r="S101"/>
      <c r="AP101" s="98"/>
    </row>
    <row r="102" spans="11:42" ht="15" thickBot="1">
      <c r="K102" s="1447"/>
      <c r="L102" s="262" t="s">
        <v>366</v>
      </c>
      <c r="M102" s="219" t="e">
        <f>SUM(M99:M101)</f>
        <v>#DIV/0!</v>
      </c>
      <c r="N102" s="219" t="e">
        <f>SUM(N99:N101)</f>
        <v>#DIV/0!</v>
      </c>
      <c r="O102" s="219" t="e">
        <f>SUM(O99:O101)</f>
        <v>#DIV/0!</v>
      </c>
      <c r="P102" s="219" t="e">
        <f>SUM(P99:P101)</f>
        <v>#DIV/0!</v>
      </c>
      <c r="Q102" s="219" t="e">
        <f>SUM(Q99:Q101)</f>
        <v>#DIV/0!</v>
      </c>
      <c r="R102" s="373" t="e">
        <f>SUM(M102:Q102)</f>
        <v>#DIV/0!</v>
      </c>
      <c r="S102"/>
      <c r="AP102" s="98"/>
    </row>
    <row r="103" spans="11:42" ht="15" thickBot="1">
      <c r="S103"/>
      <c r="AP103" s="98"/>
    </row>
    <row r="104" spans="11:42" ht="15" thickBot="1">
      <c r="K104" s="10"/>
      <c r="L104" s="89"/>
      <c r="M104" s="125" t="s">
        <v>170</v>
      </c>
      <c r="N104" s="125" t="s">
        <v>171</v>
      </c>
      <c r="O104" s="125" t="s">
        <v>172</v>
      </c>
      <c r="P104" s="125" t="s">
        <v>173</v>
      </c>
      <c r="Q104" s="125" t="s">
        <v>174</v>
      </c>
      <c r="R104" s="222" t="s">
        <v>361</v>
      </c>
      <c r="S104"/>
      <c r="AP104" s="98"/>
    </row>
    <row r="105" spans="11:42">
      <c r="K105" s="1445" t="s">
        <v>367</v>
      </c>
      <c r="L105" s="108" t="s">
        <v>363</v>
      </c>
      <c r="M105" s="211">
        <f>$D$64*$D$4*(_xlfn.XLOOKUP($D$65,$U$5:$U$35,$V$5:$V$35)-_xlfn.XLOOKUP($D$66, $U$5:$U$35, $V$5:$V$35))</f>
        <v>0</v>
      </c>
      <c r="N105" s="70">
        <f>$D$64*$D$4*(_xlfn.XLOOKUP($D$65,$Y$5:$Y$35,$Z$5:$Z$35)-_xlfn.XLOOKUP($D$66, $Y$5:$Y$35, $Z$5:$Z$35))</f>
        <v>0</v>
      </c>
      <c r="O105" s="70">
        <f>$D$64*$D$4*(_xlfn.XLOOKUP($D$65,$AC$5:$AC$35,$AD$5:$AD$35)-_xlfn.XLOOKUP($D$66, $AC$5:$AC$35, $AD$5:$AD$35))</f>
        <v>0</v>
      </c>
      <c r="P105" s="211">
        <f>$D$64*$D$4*(_xlfn.XLOOKUP($D$65,$AG$5:$AG$35,$AH$5:$AH$35)-_xlfn.XLOOKUP($D$66, $AG$5:$AG$35, $AH$5:$AH$35))</f>
        <v>0</v>
      </c>
      <c r="Q105" s="1044">
        <f>$D$64*$D$4*(_xlfn.XLOOKUP($D$65,$AK$5:$AK$35,$AL$5:$AL$35)-_xlfn.XLOOKUP($D$66, $AK$5:$AK$35, $AL$5:$AL$35))</f>
        <v>0</v>
      </c>
      <c r="R105" s="211">
        <f>SUM(M105:Q105)</f>
        <v>0</v>
      </c>
      <c r="S105"/>
      <c r="AP105" s="98"/>
    </row>
    <row r="106" spans="11:42">
      <c r="K106" s="1446"/>
      <c r="L106" s="4" t="s">
        <v>364</v>
      </c>
      <c r="M106" s="184" t="e">
        <f>$D$67*$M$94</f>
        <v>#DIV/0!</v>
      </c>
      <c r="N106" s="264" t="e">
        <f>SUM(M94, M106)*$D$67</f>
        <v>#DIV/0!</v>
      </c>
      <c r="O106" s="264" t="e">
        <f>SUM(M94, M106:N106)*$D$67</f>
        <v>#DIV/0!</v>
      </c>
      <c r="P106" s="264" t="e">
        <f>SUM(M94, M106:O106)*$D$67</f>
        <v>#DIV/0!</v>
      </c>
      <c r="Q106" s="258" t="e">
        <f>SUM(M94, M106:P106)*$D$67</f>
        <v>#DIV/0!</v>
      </c>
      <c r="R106" s="212" t="e">
        <f>SUM(M106:Q106)</f>
        <v>#DIV/0!</v>
      </c>
      <c r="S106"/>
      <c r="AP106" s="98"/>
    </row>
    <row r="107" spans="11:42" ht="15" thickBot="1">
      <c r="K107" s="1446"/>
      <c r="L107" s="109" t="s">
        <v>365</v>
      </c>
      <c r="M107" s="218" t="e">
        <f>$D$68*$M$91</f>
        <v>#DIV/0!</v>
      </c>
      <c r="N107" s="385" t="e">
        <f>SUM(M91, M107)*$D$68</f>
        <v>#DIV/0!</v>
      </c>
      <c r="O107" s="385" t="e">
        <f>SUM(M91, M107:N107)*$D$68</f>
        <v>#DIV/0!</v>
      </c>
      <c r="P107" s="385" t="e">
        <f>SUM(M91, M107:O107)*$D$68</f>
        <v>#DIV/0!</v>
      </c>
      <c r="Q107" s="1041" t="e">
        <f>SUM(M91, M107:P107)*$D$68</f>
        <v>#DIV/0!</v>
      </c>
      <c r="R107" s="171" t="e">
        <f>SUM(M107:Q107)</f>
        <v>#DIV/0!</v>
      </c>
      <c r="S107"/>
      <c r="AP107" s="98"/>
    </row>
    <row r="108" spans="11:42" ht="15" thickBot="1">
      <c r="K108" s="1447"/>
      <c r="L108" s="217" t="s">
        <v>366</v>
      </c>
      <c r="M108" s="1045" t="e">
        <f>SUM(M105:M107)</f>
        <v>#DIV/0!</v>
      </c>
      <c r="N108" s="219" t="e">
        <f>SUM(N105:N107)</f>
        <v>#DIV/0!</v>
      </c>
      <c r="O108" s="219" t="e">
        <f>SUM(O105:O107)</f>
        <v>#DIV/0!</v>
      </c>
      <c r="P108" s="219" t="e">
        <f>SUM(P105:P107)</f>
        <v>#DIV/0!</v>
      </c>
      <c r="Q108" s="219" t="e">
        <f>SUM(Q105:Q107)</f>
        <v>#DIV/0!</v>
      </c>
      <c r="R108" s="373" t="e">
        <f>SUM(M108:Q108)</f>
        <v>#DIV/0!</v>
      </c>
      <c r="S108"/>
      <c r="AP108" s="98"/>
    </row>
  </sheetData>
  <sheetProtection algorithmName="SHA-512" hashValue="5/suNeUZu5ZC1E6/E6uiGMo92xMCNahO790w+v/gj+nEX5bI64zzgGrSW2N4vtaK9wSkkWoHEnGR7LqSdep6Cw==" saltValue="LrUwk0Ti/dkYIQcZOuB4sg==" spinCount="100000" sheet="1" objects="1" scenarios="1"/>
  <mergeCells count="39">
    <mergeCell ref="AK2:AM2"/>
    <mergeCell ref="AK3:AM3"/>
    <mergeCell ref="Q2:S2"/>
    <mergeCell ref="U2:W2"/>
    <mergeCell ref="Y2:AA2"/>
    <mergeCell ref="AC2:AE2"/>
    <mergeCell ref="AG2:AI2"/>
    <mergeCell ref="B6:B8"/>
    <mergeCell ref="B23:B25"/>
    <mergeCell ref="K30:K31"/>
    <mergeCell ref="K51:K52"/>
    <mergeCell ref="K62:K66"/>
    <mergeCell ref="B64:B68"/>
    <mergeCell ref="K7:K12"/>
    <mergeCell ref="B47:B48"/>
    <mergeCell ref="B59:B62"/>
    <mergeCell ref="B16:B20"/>
    <mergeCell ref="B27:B28"/>
    <mergeCell ref="B11:B14"/>
    <mergeCell ref="B51:B55"/>
    <mergeCell ref="K54:K59"/>
    <mergeCell ref="B32:B41"/>
    <mergeCell ref="K68:K87"/>
    <mergeCell ref="K105:K108"/>
    <mergeCell ref="K99:K102"/>
    <mergeCell ref="AP3:AU3"/>
    <mergeCell ref="K23:K28"/>
    <mergeCell ref="K22:N22"/>
    <mergeCell ref="K15:K20"/>
    <mergeCell ref="K6:N6"/>
    <mergeCell ref="K14:N14"/>
    <mergeCell ref="K42:K49"/>
    <mergeCell ref="Q3:S3"/>
    <mergeCell ref="K89:K91"/>
    <mergeCell ref="K93:K96"/>
    <mergeCell ref="U3:W3"/>
    <mergeCell ref="Y3:AA3"/>
    <mergeCell ref="AC3:AE3"/>
    <mergeCell ref="AG3:AI3"/>
  </mergeCells>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8E5A81-70E0-471C-9776-4ECE7D62B479}">
  <sheetPr codeName="Sheet8">
    <tabColor theme="1"/>
  </sheetPr>
  <dimension ref="B2:X124"/>
  <sheetViews>
    <sheetView topLeftCell="I1" workbookViewId="0">
      <selection activeCell="O15" sqref="O15"/>
    </sheetView>
  </sheetViews>
  <sheetFormatPr defaultRowHeight="14.45"/>
  <cols>
    <col min="2" max="2" width="14.140625" customWidth="1"/>
    <col min="3" max="3" width="43.42578125" customWidth="1"/>
    <col min="4" max="4" width="12.85546875" customWidth="1"/>
    <col min="5" max="5" width="12.7109375" customWidth="1"/>
    <col min="6" max="7" width="10" customWidth="1"/>
    <col min="8" max="8" width="9.7109375" customWidth="1"/>
    <col min="10" max="10" width="8.7109375" style="1"/>
    <col min="12" max="12" width="12.140625" customWidth="1"/>
    <col min="13" max="13" width="70.42578125" customWidth="1"/>
    <col min="14" max="15" width="13.42578125" customWidth="1"/>
    <col min="16" max="16" width="11.5703125" customWidth="1"/>
    <col min="17" max="17" width="11.42578125" customWidth="1"/>
    <col min="18" max="18" width="12.42578125" customWidth="1"/>
    <col min="19" max="19" width="14.5703125" customWidth="1"/>
    <col min="20" max="24" width="13.140625" bestFit="1" customWidth="1"/>
  </cols>
  <sheetData>
    <row r="2" spans="2:24" ht="26.45" thickBot="1">
      <c r="B2" s="3" t="s">
        <v>368</v>
      </c>
      <c r="L2" s="3" t="s">
        <v>369</v>
      </c>
    </row>
    <row r="3" spans="2:24" ht="15" thickBot="1">
      <c r="R3" s="108"/>
      <c r="S3" s="1448" t="s">
        <v>370</v>
      </c>
      <c r="T3" s="1449"/>
      <c r="U3" s="1449"/>
      <c r="V3" s="1449"/>
      <c r="W3" s="1449"/>
      <c r="X3" s="1450"/>
    </row>
    <row r="4" spans="2:24" ht="14.45" customHeight="1" thickBot="1">
      <c r="B4" s="1501" t="s">
        <v>266</v>
      </c>
      <c r="C4" s="47" t="s">
        <v>371</v>
      </c>
      <c r="D4" s="221">
        <f>IF(INSTRUCTIONS!Q8="Basic", 'Basic - Principals and APs'!$K$11)</f>
        <v>0</v>
      </c>
      <c r="L4" s="1451" t="s">
        <v>372</v>
      </c>
      <c r="M4" s="89"/>
      <c r="N4" s="222" t="s">
        <v>85</v>
      </c>
      <c r="O4" s="222" t="s">
        <v>86</v>
      </c>
      <c r="R4" s="109"/>
      <c r="S4" s="274" t="s">
        <v>270</v>
      </c>
      <c r="T4" s="275" t="s">
        <v>170</v>
      </c>
      <c r="U4" s="275" t="s">
        <v>171</v>
      </c>
      <c r="V4" s="275" t="s">
        <v>172</v>
      </c>
      <c r="W4" s="275" t="s">
        <v>173</v>
      </c>
      <c r="X4" s="276" t="s">
        <v>174</v>
      </c>
    </row>
    <row r="5" spans="2:24" ht="29.45" customHeight="1" thickBot="1">
      <c r="B5" s="1502"/>
      <c r="C5" s="97" t="s">
        <v>373</v>
      </c>
      <c r="D5" s="151">
        <f>IF(INSTRUCTIONS!Q8="Basic", 'Basic - Principals and APs'!$K$12)</f>
        <v>0</v>
      </c>
      <c r="L5" s="1458"/>
      <c r="M5" s="123" t="s">
        <v>374</v>
      </c>
      <c r="N5" s="65">
        <f>$D$10*$D$4</f>
        <v>0</v>
      </c>
      <c r="O5" s="373">
        <f>$E$10*$D$4</f>
        <v>0</v>
      </c>
      <c r="R5" s="125" t="s">
        <v>86</v>
      </c>
      <c r="S5" s="94">
        <f>$O$82</f>
        <v>0</v>
      </c>
      <c r="T5" s="94">
        <f>S5+N102</f>
        <v>0</v>
      </c>
      <c r="U5" s="94">
        <f t="shared" ref="U5:X5" si="0">T5+O102</f>
        <v>0</v>
      </c>
      <c r="V5" s="94">
        <f t="shared" si="0"/>
        <v>0</v>
      </c>
      <c r="W5" s="94">
        <f t="shared" si="0"/>
        <v>0</v>
      </c>
      <c r="X5" s="94">
        <f t="shared" si="0"/>
        <v>0</v>
      </c>
    </row>
    <row r="6" spans="2:24" ht="15" thickBot="1">
      <c r="B6" s="8"/>
      <c r="R6" s="515" t="s">
        <v>85</v>
      </c>
      <c r="S6" s="375">
        <f>$N$82</f>
        <v>0</v>
      </c>
      <c r="T6" s="94">
        <f>S6+N120</f>
        <v>0</v>
      </c>
      <c r="U6" s="94">
        <f t="shared" ref="U6:W6" si="1">T6+O120</f>
        <v>0</v>
      </c>
      <c r="V6" s="94">
        <f t="shared" si="1"/>
        <v>0</v>
      </c>
      <c r="W6" s="94">
        <f t="shared" si="1"/>
        <v>0</v>
      </c>
      <c r="X6" s="94">
        <f>W6+R120</f>
        <v>0</v>
      </c>
    </row>
    <row r="7" spans="2:24" ht="15" thickBot="1">
      <c r="B7" s="8"/>
      <c r="L7" s="1451" t="s">
        <v>375</v>
      </c>
      <c r="M7" s="123"/>
      <c r="N7" s="125" t="s">
        <v>85</v>
      </c>
      <c r="O7" s="124" t="s">
        <v>86</v>
      </c>
    </row>
    <row r="8" spans="2:24" ht="14.45" customHeight="1" thickBot="1">
      <c r="B8" s="10"/>
      <c r="C8" s="89"/>
      <c r="D8" s="222" t="s">
        <v>85</v>
      </c>
      <c r="E8" s="159" t="s">
        <v>86</v>
      </c>
      <c r="L8" s="1458"/>
      <c r="M8" s="123" t="s">
        <v>376</v>
      </c>
      <c r="N8" s="65">
        <f>$D$11*$D$5</f>
        <v>0</v>
      </c>
      <c r="O8" s="373">
        <f>$E$11*$D$5</f>
        <v>0</v>
      </c>
      <c r="S8" s="112"/>
    </row>
    <row r="9" spans="2:24" ht="15" thickBot="1">
      <c r="B9" s="1480" t="s">
        <v>377</v>
      </c>
      <c r="C9" s="89" t="s">
        <v>378</v>
      </c>
      <c r="D9" s="229">
        <f>IF(INSTRUCTIONS!Q8="Basic", 'Basic - Principals and APs'!$M$17)</f>
        <v>0</v>
      </c>
      <c r="E9" s="372"/>
    </row>
    <row r="10" spans="2:24" ht="15" thickBot="1">
      <c r="B10" s="1452"/>
      <c r="C10" s="100" t="s">
        <v>379</v>
      </c>
      <c r="D10" s="19">
        <f>IF(INSTRUCTIONS!Q8="Basic", 'Basic - Principals and APs'!$K$17)</f>
        <v>0</v>
      </c>
      <c r="E10" s="85">
        <f>IF(INSTRUCTIONS!Q8="Basic", 'Basic - Principals and APs'!$L$17)</f>
        <v>0</v>
      </c>
      <c r="L10" s="93"/>
      <c r="M10" s="123"/>
      <c r="N10" s="125" t="s">
        <v>85</v>
      </c>
      <c r="O10" s="124" t="s">
        <v>86</v>
      </c>
    </row>
    <row r="11" spans="2:24" ht="15" customHeight="1" thickBot="1">
      <c r="B11" s="1458"/>
      <c r="C11" s="11" t="s">
        <v>380</v>
      </c>
      <c r="D11" s="18">
        <f>IF(INSTRUCTIONS!Q8="Basic", 'Basic - Principals and APs'!$K$18)</f>
        <v>0</v>
      </c>
      <c r="E11" s="87">
        <f>IF(INSTRUCTIONS!Q8="Basic", 'Basic - Principals and APs'!$L$18)</f>
        <v>0</v>
      </c>
      <c r="L11" s="1493" t="s">
        <v>381</v>
      </c>
      <c r="M11" s="47" t="str">
        <f>CONCATENATE("Total # of ",$C$15," principals")</f>
        <v>Total # of 0 principals</v>
      </c>
      <c r="N11" s="243">
        <f>D15*$D$4</f>
        <v>0</v>
      </c>
      <c r="O11" s="245">
        <f>D15*$D$4</f>
        <v>0</v>
      </c>
    </row>
    <row r="12" spans="2:24" ht="15" thickBot="1">
      <c r="L12" s="1494"/>
      <c r="M12" s="22" t="str">
        <f>CONCATENATE("Total spending on ",$C$15," principals")</f>
        <v>Total spending on 0 principals</v>
      </c>
      <c r="N12" s="238">
        <f>N11*$E$15</f>
        <v>0</v>
      </c>
      <c r="O12" s="247">
        <f>O11*$F$15</f>
        <v>0</v>
      </c>
    </row>
    <row r="13" spans="2:24" ht="26.45" customHeight="1" thickBot="1">
      <c r="B13" s="1493" t="s">
        <v>382</v>
      </c>
      <c r="C13" s="123"/>
      <c r="D13" s="222" t="s">
        <v>82</v>
      </c>
      <c r="E13" s="225" t="s">
        <v>293</v>
      </c>
      <c r="F13" s="224" t="s">
        <v>294</v>
      </c>
      <c r="L13" s="1494"/>
      <c r="M13" s="22" t="str">
        <f>CONCATENATE("Total # of ",$C$16," principals")</f>
        <v>Total # of 0 principals</v>
      </c>
      <c r="N13" s="244">
        <f>D16*$D$4</f>
        <v>0</v>
      </c>
      <c r="O13" s="246">
        <f>D16*$D$4</f>
        <v>0</v>
      </c>
    </row>
    <row r="14" spans="2:24" ht="14.45" customHeight="1" thickBot="1">
      <c r="B14" s="1494"/>
      <c r="C14" s="89">
        <f>'Basic - Principals and APs'!$J$24</f>
        <v>0</v>
      </c>
      <c r="D14" s="229">
        <f>IF(INSTRUCTIONS!Q8="Basic", 'Basic - Principals and APs'!$K$24)</f>
        <v>0</v>
      </c>
      <c r="E14" s="360"/>
      <c r="F14" s="234"/>
      <c r="L14" s="1494"/>
      <c r="M14" s="22" t="str">
        <f>CONCATENATE("Total spending on ",$C$16," principals")</f>
        <v>Total spending on 0 principals</v>
      </c>
      <c r="N14" s="238">
        <f>N13*$E$16</f>
        <v>0</v>
      </c>
      <c r="O14" s="247">
        <f>O13*$F$16</f>
        <v>0</v>
      </c>
    </row>
    <row r="15" spans="2:24">
      <c r="B15" s="1494"/>
      <c r="C15" s="483">
        <f>'Basic - Principals and APs'!$J$25</f>
        <v>0</v>
      </c>
      <c r="D15" s="42">
        <f>IF(INSTRUCTIONS!Q8="Basic", 'Basic - Principals and APs'!$K$25)</f>
        <v>0</v>
      </c>
      <c r="E15" s="17">
        <f>IF(INSTRUCTIONS!Q8="Basic", 'Basic - Principals and APs'!$L$25)</f>
        <v>0</v>
      </c>
      <c r="F15" s="448">
        <f>IF(INSTRUCTIONS!Q8="Basic", 'Basic - Principals and APs'!$M$25)</f>
        <v>0</v>
      </c>
      <c r="L15" s="1494"/>
      <c r="M15" s="22" t="str">
        <f>CONCATENATE("Total # of ",$C$17," principals")</f>
        <v>Total # of 0 principals</v>
      </c>
      <c r="N15" s="244">
        <f>D17*$D$4</f>
        <v>0</v>
      </c>
      <c r="O15" s="246">
        <f>D17*$D$4</f>
        <v>0</v>
      </c>
    </row>
    <row r="16" spans="2:24">
      <c r="B16" s="1494"/>
      <c r="C16">
        <f>'Basic - Principals and APs'!$J$26</f>
        <v>0</v>
      </c>
      <c r="D16" s="42">
        <f>IF(INSTRUCTIONS!Q8="Basic", 'Basic - Principals and APs'!$K$26)</f>
        <v>0</v>
      </c>
      <c r="E16" s="19">
        <f>IF(INSTRUCTIONS!Q8="Basic",'Basic - Principals and APs'!$L$26)</f>
        <v>0</v>
      </c>
      <c r="F16" s="85">
        <f>IF(INSTRUCTIONS!Q8="Basic", 'Basic - Principals and APs'!$M$26)</f>
        <v>0</v>
      </c>
      <c r="L16" s="1494"/>
      <c r="M16" s="22" t="str">
        <f>CONCATENATE("Total spending on ",$C$17," principals")</f>
        <v>Total spending on 0 principals</v>
      </c>
      <c r="N16" s="238">
        <f>N15*$E$17</f>
        <v>0</v>
      </c>
      <c r="O16" s="247">
        <f>O15*$F$17</f>
        <v>0</v>
      </c>
    </row>
    <row r="17" spans="2:15">
      <c r="B17" s="1494"/>
      <c r="C17" s="139">
        <f>'Basic - Principals and APs'!$J$27</f>
        <v>0</v>
      </c>
      <c r="D17" s="42">
        <f>IF(INSTRUCTIONS!Q8="Basic", 'Basic - Principals and APs'!$K$27)</f>
        <v>0</v>
      </c>
      <c r="E17" s="19">
        <f>IF(INSTRUCTIONS!Q8="Basic",'Basic - Principals and APs'!$L$27)</f>
        <v>0</v>
      </c>
      <c r="F17" s="85">
        <f>IF(INSTRUCTIONS!Q8="Basic", 'Basic - Principals and APs'!$M$27)</f>
        <v>0</v>
      </c>
      <c r="L17" s="1494"/>
      <c r="M17" s="22" t="str">
        <f>CONCATENATE("Total # of ",$C$18," principals")</f>
        <v>Total # of 0 principals</v>
      </c>
      <c r="N17" s="244">
        <f>D18*$D$4</f>
        <v>0</v>
      </c>
      <c r="O17" s="246">
        <f>D18*$D$4</f>
        <v>0</v>
      </c>
    </row>
    <row r="18" spans="2:15">
      <c r="B18" s="1494"/>
      <c r="C18">
        <f>'Basic - Principals and APs'!J28</f>
        <v>0</v>
      </c>
      <c r="D18" s="42">
        <f>IF(INSTRUCTIONS!$Q$8="Basic", 'Basic - Principals and APs'!K28)</f>
        <v>0</v>
      </c>
      <c r="E18" s="19">
        <f>IF(INSTRUCTIONS!$Q$8="Basic", 'Basic - Principals and APs'!L28)</f>
        <v>0</v>
      </c>
      <c r="F18" s="85">
        <f>IF(INSTRUCTIONS!$Q$8="Basic", 'Basic - Principals and APs'!M28)</f>
        <v>0</v>
      </c>
      <c r="L18" s="1494"/>
      <c r="M18" s="22" t="str">
        <f>CONCATENATE("Total spending on ",$C$18," principals")</f>
        <v>Total spending on 0 principals</v>
      </c>
      <c r="N18" s="238">
        <f>N17*$E$18</f>
        <v>0</v>
      </c>
      <c r="O18" s="247">
        <f>O17*$F$18</f>
        <v>0</v>
      </c>
    </row>
    <row r="19" spans="2:15">
      <c r="B19" s="1494"/>
      <c r="C19">
        <f>'Basic - Principals and APs'!J29</f>
        <v>0</v>
      </c>
      <c r="D19" s="42">
        <f>IF(INSTRUCTIONS!$Q$8="Basic", 'Basic - Principals and APs'!K29)</f>
        <v>0</v>
      </c>
      <c r="E19" s="19">
        <f>IF(INSTRUCTIONS!$Q$8="Basic", 'Basic - Principals and APs'!L29)</f>
        <v>0</v>
      </c>
      <c r="F19" s="85">
        <f>IF(INSTRUCTIONS!$Q$8="Basic", 'Basic - Principals and APs'!M29)</f>
        <v>0</v>
      </c>
      <c r="L19" s="1494"/>
      <c r="M19" s="22" t="str">
        <f>CONCATENATE("Total # of ",C19," principals")</f>
        <v>Total # of 0 principals</v>
      </c>
      <c r="N19" s="491">
        <f>$D$19*$D$4</f>
        <v>0</v>
      </c>
      <c r="O19" s="491">
        <f>$D$19*$D$4</f>
        <v>0</v>
      </c>
    </row>
    <row r="20" spans="2:15">
      <c r="B20" s="1494"/>
      <c r="C20">
        <f>'Basic - Principals and APs'!J30</f>
        <v>0</v>
      </c>
      <c r="D20" s="42">
        <f>IF(INSTRUCTIONS!$Q$8="Basic", 'Basic - Principals and APs'!K30)</f>
        <v>0</v>
      </c>
      <c r="E20" s="19">
        <f>IF(INSTRUCTIONS!$Q$8="Basic", 'Basic - Principals and APs'!L30)</f>
        <v>0</v>
      </c>
      <c r="F20" s="85">
        <f>IF(INSTRUCTIONS!$Q$8="Basic", 'Basic - Principals and APs'!M30)</f>
        <v>0</v>
      </c>
      <c r="L20" s="1494"/>
      <c r="M20" s="22" t="str">
        <f>CONCATENATE("Total spending on ",$C$19," principals")</f>
        <v>Total spending on 0 principals</v>
      </c>
      <c r="N20" s="238">
        <f>N19*E19</f>
        <v>0</v>
      </c>
      <c r="O20" s="238">
        <f>O19*F19</f>
        <v>0</v>
      </c>
    </row>
    <row r="21" spans="2:15">
      <c r="B21" s="1494"/>
      <c r="C21">
        <f>'Basic - Principals and APs'!J31</f>
        <v>0</v>
      </c>
      <c r="D21" s="42">
        <f>IF(INSTRUCTIONS!$Q$8="Basic", 'Basic - Principals and APs'!K31)</f>
        <v>0</v>
      </c>
      <c r="E21" s="19">
        <f>IF(INSTRUCTIONS!$Q$8="Basic", 'Basic - Principals and APs'!L31)</f>
        <v>0</v>
      </c>
      <c r="F21" s="85">
        <f>IF(INSTRUCTIONS!$Q$8="Basic", 'Basic - Principals and APs'!M31)</f>
        <v>0</v>
      </c>
      <c r="L21" s="1494"/>
      <c r="M21" s="22" t="str">
        <f>CONCATENATE("Total # of ",$C$20," principals")</f>
        <v>Total # of 0 principals</v>
      </c>
      <c r="N21" s="491">
        <f>$D$20*$D$4</f>
        <v>0</v>
      </c>
      <c r="O21" s="491">
        <f>$D$20*$D$4</f>
        <v>0</v>
      </c>
    </row>
    <row r="22" spans="2:15">
      <c r="B22" s="1494"/>
      <c r="C22">
        <f>'Basic - Principals and APs'!J32</f>
        <v>0</v>
      </c>
      <c r="D22" s="42">
        <f>IF(INSTRUCTIONS!$Q$8="Basic", 'Basic - Principals and APs'!K32)</f>
        <v>0</v>
      </c>
      <c r="E22" s="19">
        <f>IF(INSTRUCTIONS!$Q$8="Basic", 'Basic - Principals and APs'!L32)</f>
        <v>0</v>
      </c>
      <c r="F22" s="85">
        <f>IF(INSTRUCTIONS!$Q$8="Basic", 'Basic - Principals and APs'!M32)</f>
        <v>0</v>
      </c>
      <c r="L22" s="1494"/>
      <c r="M22" s="22" t="str">
        <f>CONCATENATE("Total spending on ",$C$20," principals")</f>
        <v>Total spending on 0 principals</v>
      </c>
      <c r="N22" s="238">
        <f>N21*E20</f>
        <v>0</v>
      </c>
      <c r="O22" s="238">
        <f>O21*F20</f>
        <v>0</v>
      </c>
    </row>
    <row r="23" spans="2:15" ht="15" thickBot="1">
      <c r="B23" s="1495"/>
      <c r="C23" s="97">
        <f>'Basic - Principals and APs'!J33</f>
        <v>0</v>
      </c>
      <c r="D23" s="12">
        <f>IF(INSTRUCTIONS!$Q$8="Basic", 'Basic - Principals and APs'!K33)</f>
        <v>0</v>
      </c>
      <c r="E23" s="18">
        <f>IF(INSTRUCTIONS!$Q$8="Basic", 'Basic - Principals and APs'!L33)</f>
        <v>0</v>
      </c>
      <c r="F23" s="87">
        <f>IF(INSTRUCTIONS!$Q$8="Basic", 'Basic - Principals and APs'!M33)</f>
        <v>0</v>
      </c>
      <c r="L23" s="1494"/>
      <c r="M23" s="22" t="str">
        <f>CONCATENATE("Total # of ",$C$21," principals")</f>
        <v>Total # of 0 principals</v>
      </c>
      <c r="N23" s="491">
        <f>$D$21*$D$4</f>
        <v>0</v>
      </c>
      <c r="O23" s="491">
        <f>$D$21*$D$4</f>
        <v>0</v>
      </c>
    </row>
    <row r="24" spans="2:15" ht="15" thickBot="1">
      <c r="L24" s="1494"/>
      <c r="M24" s="22" t="str">
        <f>CONCATENATE("Total spending on ",$C$21," principals")</f>
        <v>Total spending on 0 principals</v>
      </c>
      <c r="N24" s="212">
        <f>N23*E21</f>
        <v>0</v>
      </c>
      <c r="O24" s="212">
        <f>O23*F21</f>
        <v>0</v>
      </c>
    </row>
    <row r="25" spans="2:15" ht="29.45" customHeight="1" thickBot="1">
      <c r="B25" s="1493" t="s">
        <v>383</v>
      </c>
      <c r="C25" s="89"/>
      <c r="D25" s="222" t="s">
        <v>82</v>
      </c>
      <c r="E25" s="226" t="s">
        <v>293</v>
      </c>
      <c r="F25" s="346" t="s">
        <v>294</v>
      </c>
      <c r="L25" s="1494"/>
      <c r="M25" s="22" t="str">
        <f>CONCATENATE("Total # of ",$C$22," principals")</f>
        <v>Total # of 0 principals</v>
      </c>
      <c r="N25" s="491">
        <f>$D$22*$D$4</f>
        <v>0</v>
      </c>
      <c r="O25" s="491">
        <f>$D$22*$D$4</f>
        <v>0</v>
      </c>
    </row>
    <row r="26" spans="2:15" ht="15.95" customHeight="1" thickBot="1">
      <c r="B26" s="1494"/>
      <c r="C26" s="10">
        <f>'Basic - Principals and APs'!$J$24</f>
        <v>0</v>
      </c>
      <c r="D26" s="248">
        <f>IF(INSTRUCTIONS!$Q$8="Basic", 'Basic - Principals and APs'!N24)</f>
        <v>0</v>
      </c>
      <c r="E26" s="485"/>
      <c r="F26" s="485"/>
      <c r="L26" s="1494"/>
      <c r="M26" s="22" t="str">
        <f>CONCATENATE("Total spending on ",$C$22," principals")</f>
        <v>Total spending on 0 principals</v>
      </c>
      <c r="N26" s="238">
        <f>N25*E22</f>
        <v>0</v>
      </c>
      <c r="O26" s="238">
        <f>O25*F22</f>
        <v>0</v>
      </c>
    </row>
    <row r="27" spans="2:15" ht="14.45" customHeight="1">
      <c r="B27" s="1494"/>
      <c r="C27" s="486">
        <f>'Basic - Principals and APs'!$J$25</f>
        <v>0</v>
      </c>
      <c r="D27" s="488">
        <f>IF(INSTRUCTIONS!$Q$8="Basic", 'Basic - Principals and APs'!N25)</f>
        <v>0</v>
      </c>
      <c r="E27" s="251">
        <f>IF(INSTRUCTIONS!Q8="Basic", 'Basic - Principals and APs'!$O$25)</f>
        <v>0</v>
      </c>
      <c r="F27" s="490">
        <f>IF(INSTRUCTIONS!Q8="Basic", 'Basic - Principals and APs'!$P$25)</f>
        <v>0</v>
      </c>
      <c r="L27" s="1494"/>
      <c r="M27" s="22" t="str">
        <f>CONCATENATE("Total # of ",$C$23," principals")</f>
        <v>Total # of 0 principals</v>
      </c>
      <c r="N27" s="491">
        <f>$D$23*$D$4</f>
        <v>0</v>
      </c>
      <c r="O27" s="491">
        <f>$D$23*$D$4</f>
        <v>0</v>
      </c>
    </row>
    <row r="28" spans="2:15">
      <c r="B28" s="1494"/>
      <c r="C28" s="100">
        <f>'Basic - Principals and APs'!$J$26</f>
        <v>0</v>
      </c>
      <c r="D28" s="488">
        <f>IF(INSTRUCTIONS!$Q$8="Basic", 'Basic - Principals and APs'!N26)</f>
        <v>0</v>
      </c>
      <c r="E28" s="252">
        <f>IF(INSTRUCTIONS!Q8="Basic", 'Basic - Principals and APs'!$O$26)</f>
        <v>0</v>
      </c>
      <c r="F28" s="487">
        <f>IF(INSTRUCTIONS!Q8="Basic", 'Basic - Principals and APs'!$P$26)</f>
        <v>0</v>
      </c>
      <c r="L28" s="1494"/>
      <c r="M28" s="22" t="str">
        <f>CONCATENATE("Total spending on ",$C$23," principals")</f>
        <v>Total spending on 0 principals</v>
      </c>
      <c r="N28" s="238">
        <f>N27*E23</f>
        <v>0</v>
      </c>
      <c r="O28" s="238">
        <f>O27*F23</f>
        <v>0</v>
      </c>
    </row>
    <row r="29" spans="2:15">
      <c r="B29" s="1494"/>
      <c r="C29" s="475">
        <f>'Basic - Principals and APs'!$J$27</f>
        <v>0</v>
      </c>
      <c r="D29" s="488">
        <f>IF(INSTRUCTIONS!$Q$8="Basic", 'Basic - Principals and APs'!N27)</f>
        <v>0</v>
      </c>
      <c r="E29" s="252">
        <f>IF(INSTRUCTIONS!Q8="Basic", 'Basic - Principals and APs'!$O$27)</f>
        <v>0</v>
      </c>
      <c r="F29" s="487">
        <f>IF(INSTRUCTIONS!Q8="Basic", 'Basic - Principals and APs'!$P$27)</f>
        <v>0</v>
      </c>
      <c r="L29" s="1494"/>
      <c r="M29" s="22" t="s">
        <v>351</v>
      </c>
      <c r="N29" s="244">
        <f>SUM(N11,N13,N15,N17, N19,N21,N23,N25,N27)</f>
        <v>0</v>
      </c>
      <c r="O29" s="244">
        <f>SUM(O11,O13,O15,O17, O19,O21,O23,O25,O27)</f>
        <v>0</v>
      </c>
    </row>
    <row r="30" spans="2:15" ht="15" thickBot="1">
      <c r="B30" s="1494"/>
      <c r="C30" s="100">
        <f>'Basic - Principals and APs'!J28</f>
        <v>0</v>
      </c>
      <c r="D30" s="488">
        <f>IF(INSTRUCTIONS!$Q$8="Basic", 'Basic - Principals and APs'!N28)</f>
        <v>0</v>
      </c>
      <c r="E30" s="252">
        <f>IF(INSTRUCTIONS!$Q$8="Basic", 'Basic - Principals and APs'!O28)</f>
        <v>0</v>
      </c>
      <c r="F30" s="487">
        <f>IF(INSTRUCTIONS!$Q$8="Basic", 'Basic - Principals and APs'!P28)</f>
        <v>0</v>
      </c>
      <c r="L30" s="1495"/>
      <c r="M30" s="48" t="s">
        <v>384</v>
      </c>
      <c r="N30" s="239">
        <f>SUM(N12,N14,N16,N18,N20,N22,N24,N26,N28)</f>
        <v>0</v>
      </c>
      <c r="O30" s="239">
        <f>SUM(O12,O14,O16,O18,O20,O22,O24,O26,O28)</f>
        <v>0</v>
      </c>
    </row>
    <row r="31" spans="2:15" ht="15" thickBot="1">
      <c r="B31" s="1494"/>
      <c r="C31" s="100">
        <f>'Basic - Principals and APs'!J29</f>
        <v>0</v>
      </c>
      <c r="D31" s="488">
        <f>IF(INSTRUCTIONS!$Q$8="Basic", 'Basic - Principals and APs'!N29)</f>
        <v>0</v>
      </c>
      <c r="E31" s="252">
        <f>IF(INSTRUCTIONS!$Q$8="Basic", 'Basic - Principals and APs'!O29)</f>
        <v>0</v>
      </c>
      <c r="F31" s="487">
        <f>IF(INSTRUCTIONS!$Q$8="Basic", 'Basic - Principals and APs'!P29)</f>
        <v>0</v>
      </c>
    </row>
    <row r="32" spans="2:15" ht="15" thickBot="1">
      <c r="B32" s="1494"/>
      <c r="C32" s="100">
        <f>'Basic - Principals and APs'!J30</f>
        <v>0</v>
      </c>
      <c r="D32" s="488">
        <f>IF(INSTRUCTIONS!$Q$8="Basic", 'Basic - Principals and APs'!N30)</f>
        <v>0</v>
      </c>
      <c r="E32" s="252">
        <f>IF(INSTRUCTIONS!$Q$8="Basic", 'Basic - Principals and APs'!O30)</f>
        <v>0</v>
      </c>
      <c r="F32" s="487">
        <f>IF(INSTRUCTIONS!$Q$8="Basic", 'Basic - Principals and APs'!P30)</f>
        <v>0</v>
      </c>
      <c r="L32" s="93"/>
      <c r="M32" s="123"/>
      <c r="N32" s="125" t="s">
        <v>85</v>
      </c>
      <c r="O32" s="124" t="s">
        <v>86</v>
      </c>
    </row>
    <row r="33" spans="2:15" ht="28.5" customHeight="1">
      <c r="B33" s="1494"/>
      <c r="C33" s="100">
        <f>'Basic - Principals and APs'!J31</f>
        <v>0</v>
      </c>
      <c r="D33" s="488">
        <f>IF(INSTRUCTIONS!$Q$8="Basic", 'Basic - Principals and APs'!N31)</f>
        <v>0</v>
      </c>
      <c r="E33" s="252">
        <f>IF(INSTRUCTIONS!$Q$8="Basic", 'Basic - Principals and APs'!O31)</f>
        <v>0</v>
      </c>
      <c r="F33" s="487">
        <f>IF(INSTRUCTIONS!$Q$8="Basic", 'Basic - Principals and APs'!P31)</f>
        <v>0</v>
      </c>
      <c r="L33" s="1493" t="s">
        <v>385</v>
      </c>
      <c r="M33" s="37" t="str">
        <f>CONCATENATE("Total # of ",$C$15," assistant principals")</f>
        <v>Total # of 0 assistant principals</v>
      </c>
      <c r="N33" s="236">
        <f>$D$27*$D$5</f>
        <v>0</v>
      </c>
      <c r="O33" s="241">
        <f>$D$27*$D$5</f>
        <v>0</v>
      </c>
    </row>
    <row r="34" spans="2:15" ht="21.6" customHeight="1">
      <c r="B34" s="1494"/>
      <c r="C34" s="100">
        <f>'Basic - Principals and APs'!J32</f>
        <v>0</v>
      </c>
      <c r="D34" s="488">
        <f>IF(INSTRUCTIONS!$Q$8="Basic", 'Basic - Principals and APs'!N32)</f>
        <v>0</v>
      </c>
      <c r="E34" s="252">
        <f>IF(INSTRUCTIONS!$Q$8="Basic", 'Basic - Principals and APs'!O32)</f>
        <v>0</v>
      </c>
      <c r="F34" s="487">
        <f>IF(INSTRUCTIONS!$Q$8="Basic", 'Basic - Principals and APs'!P32)</f>
        <v>0</v>
      </c>
      <c r="L34" s="1494"/>
      <c r="M34" s="66" t="str">
        <f>CONCATENATE("Total spending on ",$C$15," assistant principals")</f>
        <v>Total spending on 0 assistant principals</v>
      </c>
      <c r="N34" s="184">
        <f>N33*$E$27</f>
        <v>0</v>
      </c>
      <c r="O34" s="254">
        <f>O33*$F$27</f>
        <v>0</v>
      </c>
    </row>
    <row r="35" spans="2:15" ht="15" thickBot="1">
      <c r="B35" s="1495"/>
      <c r="C35" s="11">
        <f>'Basic - Principals and APs'!J33</f>
        <v>0</v>
      </c>
      <c r="D35" s="489">
        <f>IF(INSTRUCTIONS!$Q$8="Basic", 'Basic - Principals and APs'!N33)</f>
        <v>0</v>
      </c>
      <c r="E35" s="253">
        <f>IF(INSTRUCTIONS!$Q$8="Basic", 'Basic - Principals and APs'!O33)</f>
        <v>0</v>
      </c>
      <c r="F35" s="484">
        <f>IF(INSTRUCTIONS!$Q$8="Basic", 'Basic - Principals and APs'!P33)</f>
        <v>0</v>
      </c>
      <c r="L35" s="1494"/>
      <c r="M35" s="66" t="str">
        <f>CONCATENATE("Total # of ",$C$16," assistant principals")</f>
        <v>Total # of 0 assistant principals</v>
      </c>
      <c r="N35" s="237">
        <f>$D$28*$D$5</f>
        <v>0</v>
      </c>
      <c r="O35" s="242">
        <f>$D$28*$D$5</f>
        <v>0</v>
      </c>
    </row>
    <row r="36" spans="2:15" ht="15" thickBot="1">
      <c r="L36" s="1494"/>
      <c r="M36" s="66" t="str">
        <f>CONCATENATE("Total spending on ",$C$16," assistant principals")</f>
        <v>Total spending on 0 assistant principals</v>
      </c>
      <c r="N36" s="184">
        <f>N35*$E$28</f>
        <v>0</v>
      </c>
      <c r="O36" s="254">
        <f>O35*$F$28</f>
        <v>0</v>
      </c>
    </row>
    <row r="37" spans="2:15" ht="14.45" customHeight="1" thickBot="1">
      <c r="B37" s="1488" t="s">
        <v>336</v>
      </c>
      <c r="C37" s="89"/>
      <c r="D37" s="222" t="s">
        <v>386</v>
      </c>
      <c r="E37" s="125" t="s">
        <v>387</v>
      </c>
      <c r="F37" s="225" t="s">
        <v>293</v>
      </c>
      <c r="G37" s="226" t="s">
        <v>294</v>
      </c>
      <c r="L37" s="1494"/>
      <c r="M37" s="66" t="str">
        <f>CONCATENATE("Total # of ",$C$17," assistant principals")</f>
        <v>Total # of 0 assistant principals</v>
      </c>
      <c r="N37" s="237">
        <f>$D$29*$D$5</f>
        <v>0</v>
      </c>
      <c r="O37" s="237">
        <f>$D$29*$D$5</f>
        <v>0</v>
      </c>
    </row>
    <row r="38" spans="2:15" ht="17.45" customHeight="1">
      <c r="B38" s="1489"/>
      <c r="C38" s="89" t="s">
        <v>388</v>
      </c>
      <c r="D38" s="229">
        <f>IF(INSTRUCTIONS!Q8="Basic", 'Basic - Principals and APs'!$K$40)</f>
        <v>0</v>
      </c>
      <c r="E38" s="330">
        <f>IF(INSTRUCTIONS!Q8="Basic", 'Basic - Principals and APs'!$M$40)</f>
        <v>0</v>
      </c>
      <c r="F38" s="84">
        <f>IF(INSTRUCTIONS!Q8="Basic", 'Basic - Principals and APs'!$L$40)</f>
        <v>0</v>
      </c>
      <c r="G38" s="17">
        <f>IF(INSTRUCTIONS!Q8="Basic", 'Basic - Principals and APs'!$N$40)</f>
        <v>0</v>
      </c>
      <c r="L38" s="1494"/>
      <c r="M38" s="66" t="str">
        <f>CONCATENATE("Total spending on ",$C$17," assistant principals")</f>
        <v>Total spending on 0 assistant principals</v>
      </c>
      <c r="N38" s="184">
        <f>N37*$E$29</f>
        <v>0</v>
      </c>
      <c r="O38" s="254">
        <f>O37*$F$29</f>
        <v>0</v>
      </c>
    </row>
    <row r="39" spans="2:15" ht="15" thickBot="1">
      <c r="B39" s="1490"/>
      <c r="C39" s="97" t="s">
        <v>389</v>
      </c>
      <c r="D39" s="12">
        <f>IF(INSTRUCTIONS!Q8="Basic", 'Basic - Principals and APs'!$K$41)</f>
        <v>0</v>
      </c>
      <c r="E39" s="214">
        <f>IF(INSTRUCTIONS!Q8="Basic", 'Basic - Principals and APs'!$M$41)</f>
        <v>0</v>
      </c>
      <c r="F39" s="86">
        <f>IF(INSTRUCTIONS!Q8="Basic", 'Basic - Principals and APs'!$L$41)</f>
        <v>0</v>
      </c>
      <c r="G39" s="18">
        <f>IF(INSTRUCTIONS!Q8="Basic", 'Basic - Principals and APs'!$N$41)</f>
        <v>0</v>
      </c>
      <c r="L39" s="1494"/>
      <c r="M39" s="66" t="str">
        <f>CONCATENATE("Total # of ",$C$18," assistant principals")</f>
        <v>Total # of 0 assistant principals</v>
      </c>
      <c r="N39" s="237">
        <f>$D$30*$D$5</f>
        <v>0</v>
      </c>
      <c r="O39" s="237">
        <f>$D$30*$D$5</f>
        <v>0</v>
      </c>
    </row>
    <row r="40" spans="2:15" ht="15" thickBot="1">
      <c r="L40" s="1494"/>
      <c r="M40" s="66" t="str">
        <f>CONCATENATE("Total spending on ",$C$18," assistant principals")</f>
        <v>Total spending on 0 assistant principals</v>
      </c>
      <c r="N40" s="184">
        <f>N39*$E$30</f>
        <v>0</v>
      </c>
      <c r="O40" s="254">
        <f>O39*$F$30</f>
        <v>0</v>
      </c>
    </row>
    <row r="41" spans="2:15" ht="29.1" customHeight="1">
      <c r="B41" s="1498" t="s">
        <v>390</v>
      </c>
      <c r="C41" s="10" t="s">
        <v>244</v>
      </c>
      <c r="D41" s="229">
        <f>IF(INSTRUCTIONS!Q8="Basic", 'Basic - Principals and APs'!$U$12)</f>
        <v>0</v>
      </c>
      <c r="L41" s="1494"/>
      <c r="M41" s="66" t="str">
        <f>CONCATENATE("Total # of ",$C$19," assistant principals")</f>
        <v>Total # of 0 assistant principals</v>
      </c>
      <c r="N41" s="237">
        <f>$D$31*$D$5</f>
        <v>0</v>
      </c>
      <c r="O41" s="237">
        <f>$D$31*$D$5</f>
        <v>0</v>
      </c>
    </row>
    <row r="42" spans="2:15">
      <c r="B42" s="1499"/>
      <c r="C42" s="100" t="s">
        <v>391</v>
      </c>
      <c r="D42" s="19">
        <f>IF(INSTRUCTIONS!Q8="Basic", 'Basic - Principals and APs'!$U$13)</f>
        <v>0</v>
      </c>
      <c r="L42" s="1494"/>
      <c r="M42" s="66" t="str">
        <f>CONCATENATE("Total spending on ",$C$19," assistant principals")</f>
        <v>Total spending on 0 assistant principals</v>
      </c>
      <c r="N42" s="184">
        <f>N41*E31</f>
        <v>0</v>
      </c>
      <c r="O42" s="184">
        <f>O41*F31</f>
        <v>0</v>
      </c>
    </row>
    <row r="43" spans="2:15">
      <c r="B43" s="1499"/>
      <c r="C43" s="100" t="s">
        <v>392</v>
      </c>
      <c r="D43" s="19">
        <f>IF(INSTRUCTIONS!Q8="Basic", 'Basic - Principals and APs'!$U$14)</f>
        <v>0</v>
      </c>
      <c r="L43" s="1494"/>
      <c r="M43" s="66" t="str">
        <f>CONCATENATE("Total # of ",$C$20," assistant principals")</f>
        <v>Total # of 0 assistant principals</v>
      </c>
      <c r="N43" s="237">
        <f>$D$32*$D$5</f>
        <v>0</v>
      </c>
      <c r="O43" s="237">
        <f>$D$32*$D$5</f>
        <v>0</v>
      </c>
    </row>
    <row r="44" spans="2:15">
      <c r="B44" s="1499"/>
      <c r="C44" s="100" t="s">
        <v>349</v>
      </c>
      <c r="D44" s="42">
        <f>IF(INSTRUCTIONS!Q8="Basic", 'Basic - Principals and APs'!$U$15)</f>
        <v>0</v>
      </c>
      <c r="L44" s="1494"/>
      <c r="M44" s="66" t="str">
        <f>CONCATENATE("Total spending on ",$C$20," assistant principals")</f>
        <v>Total spending on 0 assistant principals</v>
      </c>
      <c r="N44" s="184">
        <f>N43*E32</f>
        <v>0</v>
      </c>
      <c r="O44" s="184">
        <f>O43*F32</f>
        <v>0</v>
      </c>
    </row>
    <row r="45" spans="2:15" ht="15" thickBot="1">
      <c r="B45" s="1500"/>
      <c r="C45" s="35" t="s">
        <v>350</v>
      </c>
      <c r="D45" s="12">
        <f>IF(INSTRUCTIONS!Q8="Basic", 'Basic - Principals and APs'!$U$16)</f>
        <v>0</v>
      </c>
      <c r="L45" s="1494"/>
      <c r="M45" s="66" t="str">
        <f>CONCATENATE("Total # of ",$C$21," assistant principals")</f>
        <v>Total # of 0 assistant principals</v>
      </c>
      <c r="N45" s="237">
        <f>$D$33*$D$5</f>
        <v>0</v>
      </c>
      <c r="O45" s="237">
        <f>$D$33*$D$5</f>
        <v>0</v>
      </c>
    </row>
    <row r="46" spans="2:15" ht="15" thickBot="1">
      <c r="L46" s="1494"/>
      <c r="M46" s="66" t="str">
        <f>CONCATENATE("Total spending on ",$C$21," assistant principals")</f>
        <v>Total spending on 0 assistant principals</v>
      </c>
      <c r="N46" s="184">
        <f>N45*E33</f>
        <v>0</v>
      </c>
      <c r="O46" s="184">
        <f>O45*F33</f>
        <v>0</v>
      </c>
    </row>
    <row r="47" spans="2:15">
      <c r="B47" s="1498" t="s">
        <v>393</v>
      </c>
      <c r="C47" s="10" t="s">
        <v>244</v>
      </c>
      <c r="D47" s="229">
        <f>IF(INSTRUCTIONS!Q8="Basic", 'Basic - Principals and APs'!$V$12)</f>
        <v>0</v>
      </c>
      <c r="L47" s="1494"/>
      <c r="M47" s="66" t="str">
        <f>CONCATENATE("Total # of ",$C$22," assistant principals")</f>
        <v>Total # of 0 assistant principals</v>
      </c>
      <c r="N47" s="237">
        <f>$D$34*$D$5</f>
        <v>0</v>
      </c>
      <c r="O47" s="237">
        <f>$D$34*$D$5</f>
        <v>0</v>
      </c>
    </row>
    <row r="48" spans="2:15">
      <c r="B48" s="1499"/>
      <c r="C48" s="100" t="s">
        <v>391</v>
      </c>
      <c r="D48" s="19">
        <f>IF(INSTRUCTIONS!Q8="Basic", 'Basic - Principals and APs'!$V$13)</f>
        <v>0</v>
      </c>
      <c r="L48" s="1494"/>
      <c r="M48" s="66" t="str">
        <f>CONCATENATE("Total spending on ",$C$22," assistant principals")</f>
        <v>Total spending on 0 assistant principals</v>
      </c>
      <c r="N48" s="184">
        <f>N47*E34</f>
        <v>0</v>
      </c>
      <c r="O48" s="184">
        <f>O47*F34</f>
        <v>0</v>
      </c>
    </row>
    <row r="49" spans="2:15">
      <c r="B49" s="1499"/>
      <c r="C49" s="100" t="s">
        <v>394</v>
      </c>
      <c r="D49" s="19">
        <f>IF(INSTRUCTIONS!Q8="Basic", 'Basic - Principals and APs'!$V$14)</f>
        <v>0</v>
      </c>
      <c r="L49" s="1494"/>
      <c r="M49" s="66" t="str">
        <f>CONCATENATE("Total # of ",$C$23," assistant principals")</f>
        <v>Total # of 0 assistant principals</v>
      </c>
      <c r="N49" s="237">
        <f>$D$35*$D$5</f>
        <v>0</v>
      </c>
      <c r="O49" s="237">
        <f>$D$35*$D$5</f>
        <v>0</v>
      </c>
    </row>
    <row r="50" spans="2:15" ht="17.100000000000001" customHeight="1">
      <c r="B50" s="1499"/>
      <c r="C50" s="100" t="s">
        <v>349</v>
      </c>
      <c r="D50" s="42">
        <f>IF(INSTRUCTIONS!Q8="Basic", 'Basic - Principals and APs'!$V$15)</f>
        <v>0</v>
      </c>
      <c r="L50" s="1494"/>
      <c r="M50" s="66" t="str">
        <f>CONCATENATE("Total spending on ",$C$23," assistant principals")</f>
        <v>Total spending on 0 assistant principals</v>
      </c>
      <c r="N50" s="184">
        <f>N49*E35</f>
        <v>0</v>
      </c>
      <c r="O50" s="184">
        <f>O49*F35</f>
        <v>0</v>
      </c>
    </row>
    <row r="51" spans="2:15" ht="15" thickBot="1">
      <c r="B51" s="1500"/>
      <c r="C51" s="35" t="s">
        <v>350</v>
      </c>
      <c r="D51" s="12">
        <f>IF(INSTRUCTIONS!Q8="Basic", 'Basic - Principals and APs'!$V$16)</f>
        <v>0</v>
      </c>
      <c r="L51" s="1494"/>
      <c r="M51" s="66" t="s">
        <v>351</v>
      </c>
      <c r="N51" s="237">
        <f>SUM(N33,N35,N37,N39, N41,N43,N45,N47,N49)</f>
        <v>0</v>
      </c>
      <c r="O51" s="237">
        <f>SUM(O33,O35,O37,O39, O41,O43,O45,O47,O49)</f>
        <v>0</v>
      </c>
    </row>
    <row r="52" spans="2:15" ht="15" thickBot="1">
      <c r="L52" s="1495"/>
      <c r="M52" s="146" t="s">
        <v>395</v>
      </c>
      <c r="N52" s="239">
        <f>SUM(N34,N36,N38,N40,N42,N44,N46,N48,N50)</f>
        <v>0</v>
      </c>
      <c r="O52" s="239">
        <f>SUM(O34,O36,O38,O40,O42,O44,O46,O48,O50)</f>
        <v>0</v>
      </c>
    </row>
    <row r="53" spans="2:15" ht="15" thickBot="1">
      <c r="L53" s="8"/>
      <c r="M53" s="22"/>
      <c r="N53" s="492" t="s">
        <v>396</v>
      </c>
      <c r="O53" s="140"/>
    </row>
    <row r="54" spans="2:15" ht="20.100000000000001" customHeight="1" thickBot="1">
      <c r="B54" s="93"/>
      <c r="C54" s="123"/>
      <c r="D54" s="123" t="s">
        <v>170</v>
      </c>
      <c r="E54" s="123" t="s">
        <v>171</v>
      </c>
      <c r="F54" s="123" t="s">
        <v>172</v>
      </c>
      <c r="G54" s="123" t="s">
        <v>173</v>
      </c>
      <c r="H54" s="78" t="s">
        <v>174</v>
      </c>
      <c r="L54" s="265"/>
      <c r="M54" s="266"/>
      <c r="N54" s="267" t="s">
        <v>85</v>
      </c>
      <c r="O54" s="268" t="s">
        <v>86</v>
      </c>
    </row>
    <row r="55" spans="2:15" ht="39.950000000000003" customHeight="1" thickBot="1">
      <c r="B55" s="1503" t="s">
        <v>215</v>
      </c>
      <c r="C55" t="s">
        <v>397</v>
      </c>
      <c r="D55" s="536">
        <f>D42*(1+$D$44)</f>
        <v>0</v>
      </c>
      <c r="E55" s="1056">
        <f>D55*(1+$D$44)</f>
        <v>0</v>
      </c>
      <c r="F55" s="1056">
        <f t="shared" ref="F55:H55" si="2">E55*(1+$D$44)</f>
        <v>0</v>
      </c>
      <c r="G55" s="1056">
        <f t="shared" si="2"/>
        <v>0</v>
      </c>
      <c r="H55" s="533">
        <f t="shared" si="2"/>
        <v>0</v>
      </c>
      <c r="L55" s="107" t="s">
        <v>398</v>
      </c>
      <c r="M55" s="127" t="s">
        <v>399</v>
      </c>
      <c r="N55" s="269">
        <f>SUM(N30, N52)</f>
        <v>0</v>
      </c>
      <c r="O55" s="270">
        <f>SUM(O30, O52)</f>
        <v>0</v>
      </c>
    </row>
    <row r="56" spans="2:15" ht="15" thickBot="1">
      <c r="B56" s="1504"/>
      <c r="C56" s="97" t="s">
        <v>400</v>
      </c>
      <c r="D56" s="538">
        <f>D43*(1+$D$44)</f>
        <v>0</v>
      </c>
      <c r="E56" s="426">
        <f>D56*(1+$D$44)</f>
        <v>0</v>
      </c>
      <c r="F56" s="426">
        <f t="shared" ref="F56:H56" si="3">E56*(1+$D$44)</f>
        <v>0</v>
      </c>
      <c r="G56" s="426">
        <f t="shared" si="3"/>
        <v>0</v>
      </c>
      <c r="H56" s="427">
        <f t="shared" si="3"/>
        <v>0</v>
      </c>
    </row>
    <row r="57" spans="2:15" ht="15" thickBot="1">
      <c r="L57" s="93"/>
      <c r="M57" s="123"/>
      <c r="N57" s="125" t="s">
        <v>85</v>
      </c>
      <c r="O57" s="124" t="s">
        <v>86</v>
      </c>
    </row>
    <row r="58" spans="2:15" ht="15" thickBot="1">
      <c r="B58" s="93"/>
      <c r="C58" s="123"/>
      <c r="D58" s="123" t="s">
        <v>170</v>
      </c>
      <c r="E58" s="123" t="s">
        <v>171</v>
      </c>
      <c r="F58" s="123" t="s">
        <v>172</v>
      </c>
      <c r="G58" s="123" t="s">
        <v>173</v>
      </c>
      <c r="H58" s="78" t="s">
        <v>174</v>
      </c>
      <c r="L58" s="1489" t="s">
        <v>401</v>
      </c>
      <c r="M58" s="10" t="s">
        <v>402</v>
      </c>
      <c r="N58" s="243">
        <f>$D$38*$D$4</f>
        <v>0</v>
      </c>
      <c r="O58" s="243">
        <f>$E$38*$D$4</f>
        <v>0</v>
      </c>
    </row>
    <row r="59" spans="2:15" ht="15" thickBot="1">
      <c r="B59" s="1505" t="s">
        <v>218</v>
      </c>
      <c r="C59" t="s">
        <v>397</v>
      </c>
      <c r="D59" s="537">
        <f>D48*(1+$D$50)</f>
        <v>0</v>
      </c>
      <c r="E59" s="112">
        <f>D59*(1+$D$50)</f>
        <v>0</v>
      </c>
      <c r="F59" s="112">
        <f t="shared" ref="F59:H59" si="4">E59*(1+$D$50)</f>
        <v>0</v>
      </c>
      <c r="G59" s="112">
        <f t="shared" si="4"/>
        <v>0</v>
      </c>
      <c r="H59" s="333">
        <f t="shared" si="4"/>
        <v>0</v>
      </c>
      <c r="L59" s="1490"/>
      <c r="M59" s="146" t="s">
        <v>403</v>
      </c>
      <c r="N59" s="171">
        <f>N58*$F$38</f>
        <v>0</v>
      </c>
      <c r="O59" s="68">
        <f>O58*$G$38</f>
        <v>0</v>
      </c>
    </row>
    <row r="60" spans="2:15" ht="15" thickBot="1">
      <c r="B60" s="1506"/>
      <c r="C60" s="97" t="s">
        <v>404</v>
      </c>
      <c r="D60" s="538">
        <f>D49*(1+$D$50)</f>
        <v>0</v>
      </c>
      <c r="E60" s="426">
        <f>D60*(1+$D$50)</f>
        <v>0</v>
      </c>
      <c r="F60" s="426">
        <f t="shared" ref="F60:H60" si="5">E60*(1+$D$50)</f>
        <v>0</v>
      </c>
      <c r="G60" s="426">
        <f t="shared" si="5"/>
        <v>0</v>
      </c>
      <c r="H60" s="427">
        <f t="shared" si="5"/>
        <v>0</v>
      </c>
    </row>
    <row r="61" spans="2:15" ht="15" thickBot="1">
      <c r="L61" s="93"/>
      <c r="M61" s="123"/>
      <c r="N61" s="125" t="s">
        <v>85</v>
      </c>
      <c r="O61" s="124" t="s">
        <v>86</v>
      </c>
    </row>
    <row r="62" spans="2:15">
      <c r="L62" s="1489" t="s">
        <v>405</v>
      </c>
      <c r="M62" s="10" t="s">
        <v>402</v>
      </c>
      <c r="N62" s="236">
        <f>$D$39*$D$5</f>
        <v>0</v>
      </c>
      <c r="O62" s="236">
        <f>$E$39*$D$5</f>
        <v>0</v>
      </c>
    </row>
    <row r="63" spans="2:15" ht="15" thickBot="1">
      <c r="L63" s="1490"/>
      <c r="M63" s="146" t="s">
        <v>403</v>
      </c>
      <c r="N63" s="240">
        <f>N62*$F$39</f>
        <v>0</v>
      </c>
      <c r="O63" s="235">
        <f>O62*$G$39</f>
        <v>0</v>
      </c>
    </row>
    <row r="64" spans="2:15" ht="15" thickBot="1">
      <c r="L64" s="8"/>
      <c r="M64" s="22"/>
      <c r="N64" s="112"/>
      <c r="O64" s="112"/>
    </row>
    <row r="65" spans="12:15" ht="15" thickBot="1">
      <c r="L65" s="141"/>
      <c r="M65" s="47"/>
      <c r="N65" s="272" t="s">
        <v>85</v>
      </c>
      <c r="O65" s="273" t="s">
        <v>86</v>
      </c>
    </row>
    <row r="66" spans="12:15" ht="29.45" thickBot="1">
      <c r="L66" s="271" t="s">
        <v>406</v>
      </c>
      <c r="M66" s="127" t="s">
        <v>407</v>
      </c>
      <c r="N66" s="65">
        <f>SUM(N59, N63)</f>
        <v>0</v>
      </c>
      <c r="O66" s="95">
        <f>SUM(O59, O63)</f>
        <v>0</v>
      </c>
    </row>
    <row r="67" spans="12:15" ht="15" thickBot="1"/>
    <row r="68" spans="12:15" ht="15" thickBot="1">
      <c r="L68" s="93"/>
      <c r="M68" s="123"/>
      <c r="N68" s="125" t="s">
        <v>85</v>
      </c>
      <c r="O68" s="124" t="s">
        <v>86</v>
      </c>
    </row>
    <row r="69" spans="12:15">
      <c r="L69" s="1513" t="s">
        <v>103</v>
      </c>
      <c r="M69" s="10" t="s">
        <v>408</v>
      </c>
      <c r="N69" s="211">
        <f>$N$5*$D$9</f>
        <v>0</v>
      </c>
      <c r="O69" s="263">
        <f>$O$5*$D$9</f>
        <v>0</v>
      </c>
    </row>
    <row r="70" spans="12:15">
      <c r="L70" s="1514"/>
      <c r="M70" s="100" t="s">
        <v>409</v>
      </c>
      <c r="N70" s="212">
        <f>0.5*$D$9*SUM(N30, N59)</f>
        <v>0</v>
      </c>
      <c r="O70" s="264">
        <f>0.5*$D$9*SUM(O30,O59)</f>
        <v>0</v>
      </c>
    </row>
    <row r="71" spans="12:15">
      <c r="L71" s="1514"/>
      <c r="M71" s="100" t="s">
        <v>410</v>
      </c>
      <c r="N71" s="184">
        <f>$N$8*$D$9</f>
        <v>0</v>
      </c>
      <c r="O71" s="264">
        <f>$O$8*$D$9</f>
        <v>0</v>
      </c>
    </row>
    <row r="72" spans="12:15">
      <c r="L72" s="1514"/>
      <c r="M72" s="100" t="s">
        <v>411</v>
      </c>
      <c r="N72" s="184">
        <f>0.5*$D$9*SUM(N52, N63)</f>
        <v>0</v>
      </c>
      <c r="O72" s="264">
        <f>0.5*$D$9*SUM(O52, O63)</f>
        <v>0</v>
      </c>
    </row>
    <row r="73" spans="12:15" ht="15" thickBot="1">
      <c r="L73" s="1515"/>
      <c r="M73" s="11" t="s">
        <v>412</v>
      </c>
      <c r="N73" s="240">
        <f>SUM(N69:N72)</f>
        <v>0</v>
      </c>
      <c r="O73" s="235">
        <f>SUM(O69:O72)</f>
        <v>0</v>
      </c>
    </row>
    <row r="74" spans="12:15" ht="15" thickBot="1"/>
    <row r="75" spans="12:15" ht="15" thickBot="1">
      <c r="L75" s="93"/>
      <c r="M75" s="123"/>
      <c r="N75" s="222" t="s">
        <v>85</v>
      </c>
      <c r="O75" s="124" t="s">
        <v>86</v>
      </c>
    </row>
    <row r="76" spans="12:15">
      <c r="L76" s="1510" t="s">
        <v>413</v>
      </c>
      <c r="M76" s="160" t="s">
        <v>414</v>
      </c>
      <c r="N76" s="256">
        <f>SUM($N$5, $N$30, $N$59, $N$69)</f>
        <v>0</v>
      </c>
      <c r="O76" s="256">
        <f>SUM($O$5, $O$30, $O$59, $O$69, $O$70)</f>
        <v>0</v>
      </c>
    </row>
    <row r="77" spans="12:15">
      <c r="L77" s="1511"/>
      <c r="M77" s="9" t="s">
        <v>415</v>
      </c>
      <c r="N77" s="257">
        <f>SUM($N$5, $N$30, $N$59)</f>
        <v>0</v>
      </c>
      <c r="O77" s="257">
        <f>SUM($O$5, $O$30, $O$59)</f>
        <v>0</v>
      </c>
    </row>
    <row r="78" spans="12:15">
      <c r="L78" s="1511"/>
      <c r="M78" s="9" t="s">
        <v>416</v>
      </c>
      <c r="N78" s="257" t="e">
        <f>N77/D4</f>
        <v>#DIV/0!</v>
      </c>
      <c r="O78" s="257" t="e">
        <f>O77/D5</f>
        <v>#DIV/0!</v>
      </c>
    </row>
    <row r="79" spans="12:15">
      <c r="L79" s="1511"/>
      <c r="M79" s="9" t="s">
        <v>417</v>
      </c>
      <c r="N79" s="257">
        <f>SUM($N$8, $N$52, $N$63, $N$71)</f>
        <v>0</v>
      </c>
      <c r="O79" s="257">
        <f>SUM($O$8, $O$52, $O$63, $O$71, $O$72)</f>
        <v>0</v>
      </c>
    </row>
    <row r="80" spans="12:15">
      <c r="L80" s="1511"/>
      <c r="M80" s="9" t="s">
        <v>418</v>
      </c>
      <c r="N80" s="257">
        <f>SUM($N$8, $N$52, $N$63)</f>
        <v>0</v>
      </c>
      <c r="O80" s="257">
        <f>SUM($O$8, $O$52, $O$63)</f>
        <v>0</v>
      </c>
    </row>
    <row r="81" spans="12:19">
      <c r="L81" s="1511"/>
      <c r="M81" s="9" t="s">
        <v>419</v>
      </c>
      <c r="N81" s="257" t="e">
        <f>$N$8/$D$5</f>
        <v>#DIV/0!</v>
      </c>
      <c r="O81" s="257" t="e">
        <f>$O$8/$D$5</f>
        <v>#DIV/0!</v>
      </c>
    </row>
    <row r="82" spans="12:19">
      <c r="L82" s="1511"/>
      <c r="M82" s="9" t="s">
        <v>420</v>
      </c>
      <c r="N82" s="257">
        <f>SUM($N$76,$N$79)</f>
        <v>0</v>
      </c>
      <c r="O82" s="257">
        <f>SUM($O$76,$O$79)</f>
        <v>0</v>
      </c>
    </row>
    <row r="83" spans="12:19">
      <c r="L83" s="1511"/>
      <c r="M83" s="9" t="s">
        <v>421</v>
      </c>
      <c r="N83" s="257">
        <f>SUM($N$77,$N$80)</f>
        <v>0</v>
      </c>
      <c r="O83" s="257">
        <f>SUM($O$77,$O$80)</f>
        <v>0</v>
      </c>
    </row>
    <row r="84" spans="12:19" ht="15" thickBot="1">
      <c r="L84" s="1512"/>
      <c r="M84" s="337" t="s">
        <v>422</v>
      </c>
      <c r="N84" s="392" t="e">
        <f>N83/SUM(D4:D5)</f>
        <v>#DIV/0!</v>
      </c>
      <c r="O84" s="392" t="e">
        <f>O83/SUM(D4:D5)</f>
        <v>#DIV/0!</v>
      </c>
    </row>
    <row r="85" spans="12:19" ht="15" thickBot="1"/>
    <row r="86" spans="12:19" ht="15" thickBot="1">
      <c r="L86" s="93"/>
      <c r="M86" s="123"/>
      <c r="N86" s="125" t="s">
        <v>170</v>
      </c>
      <c r="O86" s="124" t="s">
        <v>171</v>
      </c>
      <c r="P86" s="124" t="s">
        <v>172</v>
      </c>
      <c r="Q86" s="124" t="s">
        <v>173</v>
      </c>
      <c r="R86" s="124" t="s">
        <v>174</v>
      </c>
      <c r="S86" s="124" t="s">
        <v>361</v>
      </c>
    </row>
    <row r="87" spans="12:19" ht="14.45" customHeight="1">
      <c r="L87" s="1498" t="s">
        <v>423</v>
      </c>
      <c r="M87" s="79" t="s">
        <v>424</v>
      </c>
      <c r="N87" s="211">
        <f>(D56-D55)*($D$41*$D$4)</f>
        <v>0</v>
      </c>
      <c r="O87" s="211">
        <f t="shared" ref="O87:R87" si="6">(E56-E55)*($D$41*$D$4)</f>
        <v>0</v>
      </c>
      <c r="P87" s="211">
        <f t="shared" si="6"/>
        <v>0</v>
      </c>
      <c r="Q87" s="211">
        <f t="shared" si="6"/>
        <v>0</v>
      </c>
      <c r="R87" s="211">
        <f t="shared" si="6"/>
        <v>0</v>
      </c>
      <c r="S87" s="170">
        <f>SUM(N87:R87)</f>
        <v>0</v>
      </c>
    </row>
    <row r="88" spans="12:19">
      <c r="L88" s="1499"/>
      <c r="M88" s="111" t="s">
        <v>364</v>
      </c>
      <c r="N88" s="184">
        <f>$O$77*$D$44</f>
        <v>0</v>
      </c>
      <c r="O88" s="184">
        <f>SUM(O77, N88)*$D$44</f>
        <v>0</v>
      </c>
      <c r="P88" s="184">
        <f>SUM(O77, N88:O88)*$D$44</f>
        <v>0</v>
      </c>
      <c r="Q88" s="184">
        <f>SUM(O77, N88:P88)*$D$44</f>
        <v>0</v>
      </c>
      <c r="R88" s="184">
        <f>SUM(O77, N88:Q88)*$D$44</f>
        <v>0</v>
      </c>
      <c r="S88" s="184">
        <f>SUM(N88:R88)</f>
        <v>0</v>
      </c>
    </row>
    <row r="89" spans="12:19" ht="15" thickBot="1">
      <c r="L89" s="1499"/>
      <c r="M89" s="81" t="s">
        <v>365</v>
      </c>
      <c r="N89" s="240">
        <f>SUM(O69:O70)*$D$45</f>
        <v>0</v>
      </c>
      <c r="O89" s="240">
        <f>SUM(O69:O70, N89)*$D$45</f>
        <v>0</v>
      </c>
      <c r="P89" s="240">
        <f>SUM(O69:O70, N89:O89)*$D$45</f>
        <v>0</v>
      </c>
      <c r="Q89" s="240">
        <f>SUM(O69:O70, N89:P89)*$D$45</f>
        <v>0</v>
      </c>
      <c r="R89" s="240">
        <f>SUM(O69:O70, N89:Q89)*$D$45</f>
        <v>0</v>
      </c>
      <c r="S89" s="261">
        <f>SUM(N89:R89)</f>
        <v>0</v>
      </c>
    </row>
    <row r="90" spans="12:19" ht="15" thickBot="1">
      <c r="L90" s="1500"/>
      <c r="M90" s="217" t="s">
        <v>366</v>
      </c>
      <c r="N90" s="65">
        <f>SUM(N87:N89)</f>
        <v>0</v>
      </c>
      <c r="O90" s="65">
        <f t="shared" ref="O90:R90" si="7">SUM(O87:O89)</f>
        <v>0</v>
      </c>
      <c r="P90" s="65">
        <f t="shared" si="7"/>
        <v>0</v>
      </c>
      <c r="Q90" s="65">
        <f t="shared" si="7"/>
        <v>0</v>
      </c>
      <c r="R90" s="65">
        <f t="shared" si="7"/>
        <v>0</v>
      </c>
      <c r="S90" s="95">
        <f>SUM(S87:S89)</f>
        <v>0</v>
      </c>
    </row>
    <row r="91" spans="12:19" ht="15" thickBot="1"/>
    <row r="92" spans="12:19" ht="15" thickBot="1">
      <c r="L92" s="93"/>
      <c r="M92" s="123"/>
      <c r="N92" s="125" t="s">
        <v>170</v>
      </c>
      <c r="O92" s="124" t="s">
        <v>171</v>
      </c>
      <c r="P92" s="124" t="s">
        <v>172</v>
      </c>
      <c r="Q92" s="124" t="s">
        <v>173</v>
      </c>
      <c r="R92" s="124" t="s">
        <v>174</v>
      </c>
      <c r="S92" s="124" t="s">
        <v>361</v>
      </c>
    </row>
    <row r="93" spans="12:19">
      <c r="L93" s="1498" t="s">
        <v>425</v>
      </c>
      <c r="M93" s="79" t="s">
        <v>424</v>
      </c>
      <c r="N93" s="211">
        <f>(D60-D59)*($D$47*$D$5)</f>
        <v>0</v>
      </c>
      <c r="O93" s="211">
        <f t="shared" ref="O93:R93" si="8">(E60-E59)*($D$47*$D$5)</f>
        <v>0</v>
      </c>
      <c r="P93" s="211">
        <f t="shared" si="8"/>
        <v>0</v>
      </c>
      <c r="Q93" s="211">
        <f t="shared" si="8"/>
        <v>0</v>
      </c>
      <c r="R93" s="211">
        <f t="shared" si="8"/>
        <v>0</v>
      </c>
      <c r="S93" s="170">
        <f>SUM(N93:R93)</f>
        <v>0</v>
      </c>
    </row>
    <row r="94" spans="12:19">
      <c r="L94" s="1499"/>
      <c r="M94" s="111" t="s">
        <v>364</v>
      </c>
      <c r="N94" s="184">
        <f>$O$80*$D$50</f>
        <v>0</v>
      </c>
      <c r="O94" s="184">
        <f>SUM(O80, N94)*$D$50</f>
        <v>0</v>
      </c>
      <c r="P94" s="184">
        <f>SUM(O80, N94:O94)*$D$50</f>
        <v>0</v>
      </c>
      <c r="Q94" s="184">
        <f>SUM(O80, N94:P94)*$D$50</f>
        <v>0</v>
      </c>
      <c r="R94" s="184">
        <f>SUM(O80, N94:Q94)*$D$50</f>
        <v>0</v>
      </c>
      <c r="S94" s="184">
        <f>SUM(N94:R94)</f>
        <v>0</v>
      </c>
    </row>
    <row r="95" spans="12:19" ht="15" thickBot="1">
      <c r="L95" s="1499"/>
      <c r="M95" s="81" t="s">
        <v>365</v>
      </c>
      <c r="N95" s="240">
        <f>SUM(O71:O72)*$D$51</f>
        <v>0</v>
      </c>
      <c r="O95" s="240">
        <f>SUM(O71:O72, N95)*$D$51</f>
        <v>0</v>
      </c>
      <c r="P95" s="240">
        <f>SUM(O71:O72, N95:O95)*$D$51</f>
        <v>0</v>
      </c>
      <c r="Q95" s="240">
        <f>SUM(O71:O72, N95:P95)*$D$51</f>
        <v>0</v>
      </c>
      <c r="R95" s="240">
        <f>SUM(O71:O72, N95:Q95)*$D$51</f>
        <v>0</v>
      </c>
      <c r="S95" s="261">
        <f>SUM(N95:R95)</f>
        <v>0</v>
      </c>
    </row>
    <row r="96" spans="12:19" ht="15" thickBot="1">
      <c r="L96" s="1500"/>
      <c r="M96" s="217" t="s">
        <v>366</v>
      </c>
      <c r="N96" s="65">
        <f>SUM(N93:N95)</f>
        <v>0</v>
      </c>
      <c r="O96" s="65">
        <f t="shared" ref="O96:R96" si="9">SUM(O93:O95)</f>
        <v>0</v>
      </c>
      <c r="P96" s="65">
        <f t="shared" si="9"/>
        <v>0</v>
      </c>
      <c r="Q96" s="65">
        <f t="shared" si="9"/>
        <v>0</v>
      </c>
      <c r="R96" s="65">
        <f t="shared" si="9"/>
        <v>0</v>
      </c>
      <c r="S96" s="95">
        <f>SUM(S93:S95)</f>
        <v>0</v>
      </c>
    </row>
    <row r="97" spans="12:22" ht="15" thickBot="1"/>
    <row r="98" spans="12:22" ht="15" thickBot="1">
      <c r="L98" s="262"/>
      <c r="M98" s="217"/>
      <c r="N98" s="125" t="s">
        <v>170</v>
      </c>
      <c r="O98" s="124" t="s">
        <v>171</v>
      </c>
      <c r="P98" s="124" t="s">
        <v>172</v>
      </c>
      <c r="Q98" s="124" t="s">
        <v>173</v>
      </c>
      <c r="R98" s="124" t="s">
        <v>174</v>
      </c>
      <c r="S98" s="124" t="s">
        <v>361</v>
      </c>
    </row>
    <row r="99" spans="12:22">
      <c r="L99" s="1507" t="s">
        <v>426</v>
      </c>
      <c r="M99" s="10" t="s">
        <v>427</v>
      </c>
      <c r="N99" s="170">
        <f>SUM(N87, N93)</f>
        <v>0</v>
      </c>
      <c r="O99" s="170">
        <f t="shared" ref="O99:R99" si="10">SUM(O87, O93)</f>
        <v>0</v>
      </c>
      <c r="P99" s="170">
        <f t="shared" si="10"/>
        <v>0</v>
      </c>
      <c r="Q99" s="170">
        <f t="shared" si="10"/>
        <v>0</v>
      </c>
      <c r="R99" s="170">
        <f t="shared" si="10"/>
        <v>0</v>
      </c>
      <c r="S99" s="263">
        <f>SUM(N99:R99)</f>
        <v>0</v>
      </c>
    </row>
    <row r="100" spans="12:22">
      <c r="L100" s="1508"/>
      <c r="M100" s="100" t="s">
        <v>428</v>
      </c>
      <c r="N100" s="184">
        <f t="shared" ref="N100:R100" si="11">SUM(N88, N94)</f>
        <v>0</v>
      </c>
      <c r="O100" s="184">
        <f t="shared" si="11"/>
        <v>0</v>
      </c>
      <c r="P100" s="184">
        <f t="shared" si="11"/>
        <v>0</v>
      </c>
      <c r="Q100" s="184">
        <f t="shared" si="11"/>
        <v>0</v>
      </c>
      <c r="R100" s="184">
        <f t="shared" si="11"/>
        <v>0</v>
      </c>
      <c r="S100" s="264">
        <f>SUM(N100:R100)</f>
        <v>0</v>
      </c>
    </row>
    <row r="101" spans="12:22" ht="15" thickBot="1">
      <c r="L101" s="1508"/>
      <c r="M101" s="100" t="s">
        <v>429</v>
      </c>
      <c r="N101" s="514">
        <f>SUM(N89, N95)</f>
        <v>0</v>
      </c>
      <c r="O101" s="514">
        <f t="shared" ref="O101:R101" si="12">SUM(O89, O95)</f>
        <v>0</v>
      </c>
      <c r="P101" s="514">
        <f t="shared" si="12"/>
        <v>0</v>
      </c>
      <c r="Q101" s="514">
        <f t="shared" si="12"/>
        <v>0</v>
      </c>
      <c r="R101" s="514">
        <f t="shared" si="12"/>
        <v>0</v>
      </c>
      <c r="S101" s="254">
        <f>SUM(N101:R101)</f>
        <v>0</v>
      </c>
    </row>
    <row r="102" spans="12:22" ht="15" thickBot="1">
      <c r="L102" s="1509"/>
      <c r="M102" s="262" t="s">
        <v>430</v>
      </c>
      <c r="N102" s="65">
        <f>SUM(N99:N101)</f>
        <v>0</v>
      </c>
      <c r="O102" s="65">
        <f t="shared" ref="O102:R102" si="13">SUM(O99:O101)</f>
        <v>0</v>
      </c>
      <c r="P102" s="65">
        <f t="shared" si="13"/>
        <v>0</v>
      </c>
      <c r="Q102" s="65">
        <f t="shared" si="13"/>
        <v>0</v>
      </c>
      <c r="R102" s="65">
        <f t="shared" si="13"/>
        <v>0</v>
      </c>
      <c r="S102" s="95">
        <f>SUM(S99:S101)</f>
        <v>0</v>
      </c>
    </row>
    <row r="103" spans="12:22" ht="15" thickBot="1"/>
    <row r="104" spans="12:22" ht="15" thickBot="1">
      <c r="L104" s="93"/>
      <c r="M104" s="123"/>
      <c r="N104" s="125" t="s">
        <v>170</v>
      </c>
      <c r="O104" s="124" t="s">
        <v>171</v>
      </c>
      <c r="P104" s="124" t="s">
        <v>172</v>
      </c>
      <c r="Q104" s="124" t="s">
        <v>173</v>
      </c>
      <c r="R104" s="124" t="s">
        <v>174</v>
      </c>
      <c r="S104" s="124" t="s">
        <v>361</v>
      </c>
    </row>
    <row r="105" spans="12:22">
      <c r="L105" s="1498" t="s">
        <v>431</v>
      </c>
      <c r="M105" s="79" t="s">
        <v>424</v>
      </c>
      <c r="N105" s="211">
        <f>(D56-D55)*($D$41*$D$4)</f>
        <v>0</v>
      </c>
      <c r="O105" s="211">
        <f t="shared" ref="O105:R105" si="14">(E56-E55)*($D$41*$D$4)</f>
        <v>0</v>
      </c>
      <c r="P105" s="211">
        <f t="shared" si="14"/>
        <v>0</v>
      </c>
      <c r="Q105" s="211">
        <f t="shared" si="14"/>
        <v>0</v>
      </c>
      <c r="R105" s="211">
        <f t="shared" si="14"/>
        <v>0</v>
      </c>
      <c r="S105" s="170">
        <f>SUM(N105:R105)</f>
        <v>0</v>
      </c>
      <c r="T105" s="1057"/>
      <c r="U105" s="1057"/>
      <c r="V105" s="1057"/>
    </row>
    <row r="106" spans="12:22">
      <c r="L106" s="1499"/>
      <c r="M106" s="111" t="s">
        <v>364</v>
      </c>
      <c r="N106" s="184">
        <f>$N$77*$D$44</f>
        <v>0</v>
      </c>
      <c r="O106" s="184">
        <f>SUM(N77, N106)*$D$44</f>
        <v>0</v>
      </c>
      <c r="P106" s="184">
        <f>SUM(N77, N106:O106)*$D$44</f>
        <v>0</v>
      </c>
      <c r="Q106" s="184">
        <f>SUM(N77, N106:P106)*$D$44</f>
        <v>0</v>
      </c>
      <c r="R106" s="184">
        <f>SUM(N77, N106:Q106)*$D$44</f>
        <v>0</v>
      </c>
      <c r="S106" s="184">
        <f>SUM(N106:R106)</f>
        <v>0</v>
      </c>
      <c r="T106" s="1057"/>
      <c r="U106" s="1057"/>
      <c r="V106" s="1057"/>
    </row>
    <row r="107" spans="12:22" ht="15" thickBot="1">
      <c r="L107" s="1499"/>
      <c r="M107" s="81" t="s">
        <v>365</v>
      </c>
      <c r="N107" s="240">
        <f>SUM(N69:N70)*$D$45</f>
        <v>0</v>
      </c>
      <c r="O107" s="240">
        <f>SUM(N69, N70, N107)*$D$45</f>
        <v>0</v>
      </c>
      <c r="P107" s="240">
        <f>SUM(N69, N70, N107:O107)*$D$45</f>
        <v>0</v>
      </c>
      <c r="Q107" s="240">
        <f>SUM(N69:N70, N107:P107)*$D$45</f>
        <v>0</v>
      </c>
      <c r="R107" s="240">
        <f>SUM(N69:N70, N107:Q107)*$D$45</f>
        <v>0</v>
      </c>
      <c r="S107" s="240">
        <f>SUM(N107:R107)</f>
        <v>0</v>
      </c>
    </row>
    <row r="108" spans="12:22" ht="15" thickBot="1">
      <c r="L108" s="1500"/>
      <c r="M108" s="217" t="s">
        <v>366</v>
      </c>
      <c r="N108" s="65">
        <f>SUM(N105:N107)</f>
        <v>0</v>
      </c>
      <c r="O108" s="65">
        <f t="shared" ref="O108:R108" si="15">SUM(O105:O107)</f>
        <v>0</v>
      </c>
      <c r="P108" s="65">
        <f t="shared" si="15"/>
        <v>0</v>
      </c>
      <c r="Q108" s="65">
        <f t="shared" si="15"/>
        <v>0</v>
      </c>
      <c r="R108" s="65">
        <f t="shared" si="15"/>
        <v>0</v>
      </c>
      <c r="S108" s="95">
        <f>SUM(S105:S107)</f>
        <v>0</v>
      </c>
    </row>
    <row r="109" spans="12:22" ht="15" thickBot="1"/>
    <row r="110" spans="12:22" ht="15" thickBot="1">
      <c r="L110" s="93"/>
      <c r="M110" s="123"/>
      <c r="N110" s="125" t="s">
        <v>170</v>
      </c>
      <c r="O110" s="124" t="s">
        <v>171</v>
      </c>
      <c r="P110" s="124" t="s">
        <v>172</v>
      </c>
      <c r="Q110" s="124" t="s">
        <v>173</v>
      </c>
      <c r="R110" s="124" t="s">
        <v>174</v>
      </c>
      <c r="S110" s="124" t="s">
        <v>361</v>
      </c>
    </row>
    <row r="111" spans="12:22">
      <c r="L111" s="1498" t="s">
        <v>432</v>
      </c>
      <c r="M111" s="79" t="s">
        <v>424</v>
      </c>
      <c r="N111" s="211">
        <f>(D60-D59)*($D$47*$D$5)</f>
        <v>0</v>
      </c>
      <c r="O111" s="211">
        <f t="shared" ref="O111:R111" si="16">(E60-E59)*($D$47*$D$5)</f>
        <v>0</v>
      </c>
      <c r="P111" s="211">
        <f t="shared" si="16"/>
        <v>0</v>
      </c>
      <c r="Q111" s="211">
        <f t="shared" si="16"/>
        <v>0</v>
      </c>
      <c r="R111" s="211">
        <f t="shared" si="16"/>
        <v>0</v>
      </c>
      <c r="S111" s="170">
        <f>SUM(N111:R111)</f>
        <v>0</v>
      </c>
    </row>
    <row r="112" spans="12:22">
      <c r="L112" s="1499"/>
      <c r="M112" s="111" t="s">
        <v>364</v>
      </c>
      <c r="N112" s="184">
        <f>$N$80*$D$50</f>
        <v>0</v>
      </c>
      <c r="O112" s="184">
        <f>SUM(N80, N112)*$D$50</f>
        <v>0</v>
      </c>
      <c r="P112" s="184">
        <f>SUM(N80, N112:O112)*$D$50</f>
        <v>0</v>
      </c>
      <c r="Q112" s="184">
        <f>SUM(N80, N112:P112)*$D$50</f>
        <v>0</v>
      </c>
      <c r="R112" s="184">
        <f>SUM(N80, N112:Q112)*$D$50</f>
        <v>0</v>
      </c>
      <c r="S112" s="184">
        <f>SUM(N112:R112)</f>
        <v>0</v>
      </c>
    </row>
    <row r="113" spans="12:19" ht="15" thickBot="1">
      <c r="L113" s="1499"/>
      <c r="M113" s="81" t="s">
        <v>365</v>
      </c>
      <c r="N113" s="240">
        <f>SUM(N71:N72)*$D$51</f>
        <v>0</v>
      </c>
      <c r="O113" s="240">
        <f>SUM(N71:N72, N113)*$D$51</f>
        <v>0</v>
      </c>
      <c r="P113" s="240">
        <f>SUM(N71:N72, N113:O113)*$D$51</f>
        <v>0</v>
      </c>
      <c r="Q113" s="240">
        <f>SUM(N71:N72, N113:P113)*$D$51</f>
        <v>0</v>
      </c>
      <c r="R113" s="240">
        <f>SUM(N71:N72, N113:Q113)*$D$51</f>
        <v>0</v>
      </c>
      <c r="S113" s="261">
        <f>SUM(N113:R113)</f>
        <v>0</v>
      </c>
    </row>
    <row r="114" spans="12:19" ht="15" thickBot="1">
      <c r="L114" s="1500"/>
      <c r="M114" s="217" t="s">
        <v>366</v>
      </c>
      <c r="N114" s="65">
        <f>SUM(N111:N113)</f>
        <v>0</v>
      </c>
      <c r="O114" s="65">
        <f t="shared" ref="O114:R114" si="17">SUM(O111:O113)</f>
        <v>0</v>
      </c>
      <c r="P114" s="65">
        <f t="shared" si="17"/>
        <v>0</v>
      </c>
      <c r="Q114" s="65">
        <f t="shared" si="17"/>
        <v>0</v>
      </c>
      <c r="R114" s="65">
        <f t="shared" si="17"/>
        <v>0</v>
      </c>
      <c r="S114" s="95">
        <f>SUM(S111:S113)</f>
        <v>0</v>
      </c>
    </row>
    <row r="115" spans="12:19" ht="15" thickBot="1"/>
    <row r="116" spans="12:19" ht="15" thickBot="1">
      <c r="L116" s="262"/>
      <c r="M116" s="217"/>
      <c r="N116" s="125" t="s">
        <v>170</v>
      </c>
      <c r="O116" s="124" t="s">
        <v>171</v>
      </c>
      <c r="P116" s="124" t="s">
        <v>172</v>
      </c>
      <c r="Q116" s="124" t="s">
        <v>173</v>
      </c>
      <c r="R116" s="124" t="s">
        <v>174</v>
      </c>
      <c r="S116" s="124" t="s">
        <v>361</v>
      </c>
    </row>
    <row r="117" spans="12:19">
      <c r="L117" s="1507" t="s">
        <v>433</v>
      </c>
      <c r="M117" s="10" t="s">
        <v>427</v>
      </c>
      <c r="N117" s="170">
        <f t="shared" ref="N117:R117" si="18">SUM(N105, N111)</f>
        <v>0</v>
      </c>
      <c r="O117" s="170">
        <f t="shared" si="18"/>
        <v>0</v>
      </c>
      <c r="P117" s="170">
        <f t="shared" si="18"/>
        <v>0</v>
      </c>
      <c r="Q117" s="170">
        <f t="shared" si="18"/>
        <v>0</v>
      </c>
      <c r="R117" s="170">
        <f t="shared" si="18"/>
        <v>0</v>
      </c>
      <c r="S117" s="170">
        <f>SUM(N117:R117)</f>
        <v>0</v>
      </c>
    </row>
    <row r="118" spans="12:19">
      <c r="L118" s="1508"/>
      <c r="M118" s="100" t="s">
        <v>428</v>
      </c>
      <c r="N118" s="184">
        <f>SUM(N106, N112)</f>
        <v>0</v>
      </c>
      <c r="O118" s="184">
        <f t="shared" ref="O118:R118" si="19">SUM(O106, O112)</f>
        <v>0</v>
      </c>
      <c r="P118" s="184">
        <f t="shared" si="19"/>
        <v>0</v>
      </c>
      <c r="Q118" s="184">
        <f t="shared" si="19"/>
        <v>0</v>
      </c>
      <c r="R118" s="184">
        <f t="shared" si="19"/>
        <v>0</v>
      </c>
      <c r="S118" s="184">
        <f>SUM(N118:R118)</f>
        <v>0</v>
      </c>
    </row>
    <row r="119" spans="12:19" ht="15" thickBot="1">
      <c r="L119" s="1508"/>
      <c r="M119" s="100" t="s">
        <v>429</v>
      </c>
      <c r="N119" s="184">
        <f>SUM(N107, N113)</f>
        <v>0</v>
      </c>
      <c r="O119" s="184">
        <f t="shared" ref="O119:R119" si="20">SUM(O107, O113)</f>
        <v>0</v>
      </c>
      <c r="P119" s="184">
        <f t="shared" si="20"/>
        <v>0</v>
      </c>
      <c r="Q119" s="184">
        <f t="shared" si="20"/>
        <v>0</v>
      </c>
      <c r="R119" s="184">
        <f t="shared" si="20"/>
        <v>0</v>
      </c>
      <c r="S119" s="184">
        <f>SUM(N119:R119)</f>
        <v>0</v>
      </c>
    </row>
    <row r="120" spans="12:19" ht="15" thickBot="1">
      <c r="L120" s="1509"/>
      <c r="M120" s="262" t="s">
        <v>430</v>
      </c>
      <c r="N120" s="65">
        <f>SUM(N117:N119)</f>
        <v>0</v>
      </c>
      <c r="O120" s="65">
        <f t="shared" ref="O120:R120" si="21">SUM(O117:O119)</f>
        <v>0</v>
      </c>
      <c r="P120" s="65">
        <f t="shared" si="21"/>
        <v>0</v>
      </c>
      <c r="Q120" s="65">
        <f t="shared" si="21"/>
        <v>0</v>
      </c>
      <c r="R120" s="65">
        <f t="shared" si="21"/>
        <v>0</v>
      </c>
      <c r="S120" s="95">
        <f>SUM(S117:S119)</f>
        <v>0</v>
      </c>
    </row>
    <row r="123" spans="12:19">
      <c r="N123" s="112"/>
    </row>
    <row r="124" spans="12:19">
      <c r="N124" s="112"/>
    </row>
  </sheetData>
  <sheetProtection algorithmName="SHA-512" hashValue="ke6NHg1uK2FKFByVU3RaMwKN/3fWL9bVuvMLeqKTG6haOq38bzVnedzfxRQuJGv0MO1DGddp/n8C1+mAIbOK+A==" saltValue="nO+pWn/fEyuGCjHTcIc9sg==" spinCount="100000" sheet="1" objects="1" scenarios="1"/>
  <mergeCells count="24">
    <mergeCell ref="B55:B56"/>
    <mergeCell ref="B59:B60"/>
    <mergeCell ref="L117:L120"/>
    <mergeCell ref="L33:L52"/>
    <mergeCell ref="L87:L90"/>
    <mergeCell ref="L93:L96"/>
    <mergeCell ref="L105:L108"/>
    <mergeCell ref="L111:L114"/>
    <mergeCell ref="L99:L102"/>
    <mergeCell ref="L76:L84"/>
    <mergeCell ref="L58:L59"/>
    <mergeCell ref="L62:L63"/>
    <mergeCell ref="L69:L73"/>
    <mergeCell ref="S3:X3"/>
    <mergeCell ref="B41:B45"/>
    <mergeCell ref="B47:B51"/>
    <mergeCell ref="B37:B39"/>
    <mergeCell ref="B4:B5"/>
    <mergeCell ref="B9:B11"/>
    <mergeCell ref="L7:L8"/>
    <mergeCell ref="L4:L5"/>
    <mergeCell ref="B13:B23"/>
    <mergeCell ref="B25:B35"/>
    <mergeCell ref="L11:L30"/>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9C392D-4565-4CFB-ACCB-40D1A373B5D9}">
  <sheetPr codeName="Sheet9">
    <tabColor theme="1"/>
  </sheetPr>
  <dimension ref="B2:AC423"/>
  <sheetViews>
    <sheetView topLeftCell="M1" workbookViewId="0">
      <selection activeCell="U15" sqref="U15"/>
    </sheetView>
  </sheetViews>
  <sheetFormatPr defaultRowHeight="14.45"/>
  <cols>
    <col min="1" max="1" width="5.42578125" customWidth="1"/>
    <col min="2" max="2" width="19.28515625" customWidth="1"/>
    <col min="3" max="3" width="36.5703125" customWidth="1"/>
    <col min="4" max="4" width="24.140625" customWidth="1"/>
    <col min="5" max="5" width="18.42578125" customWidth="1"/>
    <col min="6" max="6" width="18.28515625" customWidth="1"/>
    <col min="7" max="8" width="20.140625" customWidth="1"/>
    <col min="9" max="9" width="16.140625" customWidth="1"/>
    <col min="10" max="10" width="15.85546875" customWidth="1"/>
    <col min="11" max="11" width="5" customWidth="1"/>
    <col min="12" max="12" width="4.42578125" style="1" customWidth="1"/>
    <col min="14" max="14" width="12.42578125" customWidth="1"/>
    <col min="15" max="15" width="51.42578125" customWidth="1"/>
    <col min="16" max="17" width="15.140625" customWidth="1"/>
    <col min="18" max="18" width="13.140625" customWidth="1"/>
    <col min="19" max="19" width="12.140625" style="1" customWidth="1"/>
    <col min="20" max="20" width="12" customWidth="1"/>
    <col min="21" max="21" width="13.7109375" customWidth="1"/>
    <col min="22" max="22" width="14.140625" customWidth="1"/>
    <col min="23" max="23" width="13.28515625" customWidth="1"/>
    <col min="24" max="24" width="14.42578125" customWidth="1"/>
    <col min="25" max="25" width="12.85546875" customWidth="1"/>
    <col min="26" max="26" width="15.42578125" customWidth="1"/>
    <col min="27" max="27" width="13" customWidth="1"/>
  </cols>
  <sheetData>
    <row r="2" spans="2:29" ht="26.45" thickBot="1">
      <c r="B2" s="3" t="s">
        <v>434</v>
      </c>
      <c r="N2" s="63" t="s">
        <v>260</v>
      </c>
      <c r="Q2" s="112"/>
    </row>
    <row r="3" spans="2:29" ht="26.45" thickBot="1">
      <c r="B3" s="3"/>
      <c r="P3" s="285" t="s">
        <v>85</v>
      </c>
      <c r="Q3" s="285" t="s">
        <v>86</v>
      </c>
      <c r="U3" s="108"/>
      <c r="V3" s="1448" t="s">
        <v>265</v>
      </c>
      <c r="W3" s="1449"/>
      <c r="X3" s="1449"/>
      <c r="Y3" s="1449"/>
      <c r="Z3" s="1449"/>
      <c r="AA3" s="1450"/>
    </row>
    <row r="4" spans="2:29" ht="15.6" customHeight="1" thickBot="1">
      <c r="N4" s="410" t="s">
        <v>435</v>
      </c>
      <c r="O4" s="128" t="s">
        <v>436</v>
      </c>
      <c r="P4" s="175">
        <f>SUMPRODUCT($D$6:$D$36, $E$6:$E$36)</f>
        <v>0</v>
      </c>
      <c r="Q4" s="175">
        <f>SUMPRODUCT(D97:D127, E97:E127)</f>
        <v>0</v>
      </c>
      <c r="U4" s="109"/>
      <c r="V4" s="274" t="s">
        <v>270</v>
      </c>
      <c r="W4" s="275" t="s">
        <v>170</v>
      </c>
      <c r="X4" s="275" t="s">
        <v>171</v>
      </c>
      <c r="Y4" s="275" t="s">
        <v>172</v>
      </c>
      <c r="Z4" s="275" t="s">
        <v>173</v>
      </c>
      <c r="AA4" s="276" t="s">
        <v>174</v>
      </c>
    </row>
    <row r="5" spans="2:29" ht="29.45" thickBot="1">
      <c r="B5" s="1451" t="s">
        <v>437</v>
      </c>
      <c r="C5" s="152" t="s">
        <v>169</v>
      </c>
      <c r="D5" s="154" t="s">
        <v>188</v>
      </c>
      <c r="E5" s="156" t="s">
        <v>438</v>
      </c>
      <c r="F5" s="154" t="s">
        <v>439</v>
      </c>
      <c r="G5" s="262" t="s">
        <v>440</v>
      </c>
      <c r="H5" s="124" t="s">
        <v>441</v>
      </c>
      <c r="N5" s="411"/>
      <c r="O5" s="22" t="s">
        <v>442</v>
      </c>
      <c r="P5" s="51">
        <f>P4-SUM(P6:P7)</f>
        <v>0</v>
      </c>
      <c r="Q5" s="331">
        <f>$E$97*$D$39</f>
        <v>0</v>
      </c>
      <c r="U5" s="152" t="s">
        <v>86</v>
      </c>
      <c r="V5" s="517">
        <f>$Q$76</f>
        <v>0</v>
      </c>
      <c r="W5" s="518">
        <f>V5+P87</f>
        <v>0</v>
      </c>
      <c r="X5" s="518">
        <f t="shared" ref="X5:AA5" si="0">W5+Q87</f>
        <v>0</v>
      </c>
      <c r="Y5" s="518">
        <f t="shared" si="0"/>
        <v>0</v>
      </c>
      <c r="Z5" s="518">
        <f t="shared" si="0"/>
        <v>0</v>
      </c>
      <c r="AA5" s="519">
        <f t="shared" si="0"/>
        <v>0</v>
      </c>
      <c r="AC5" s="112"/>
    </row>
    <row r="6" spans="2:29" ht="15" thickBot="1">
      <c r="B6" s="1452"/>
      <c r="C6" s="153">
        <v>0</v>
      </c>
      <c r="D6" s="290" t="b">
        <f>IF(INSTRUCTIONS!Q7="Advanced", 'Advanced - Teachers'!$K$21)</f>
        <v>0</v>
      </c>
      <c r="E6" s="85">
        <f>'Advanced - Teachers'!$L$21</f>
        <v>0</v>
      </c>
      <c r="F6" s="259"/>
      <c r="G6" s="1"/>
      <c r="H6" s="1"/>
      <c r="N6" s="411"/>
      <c r="O6" s="22" t="s">
        <v>443</v>
      </c>
      <c r="P6" s="51">
        <f>H37</f>
        <v>0</v>
      </c>
      <c r="Q6" s="51">
        <f>Q4-SUM(Q5, Q7)</f>
        <v>0</v>
      </c>
      <c r="U6" s="262" t="s">
        <v>85</v>
      </c>
      <c r="V6" s="376">
        <f>P76</f>
        <v>0</v>
      </c>
      <c r="W6" s="367">
        <f>V6+P94</f>
        <v>0</v>
      </c>
      <c r="X6" s="367">
        <f t="shared" ref="X6:AA6" si="1">W6+Q94</f>
        <v>0</v>
      </c>
      <c r="Y6" s="367">
        <f t="shared" si="1"/>
        <v>0</v>
      </c>
      <c r="Z6" s="367">
        <f t="shared" si="1"/>
        <v>0</v>
      </c>
      <c r="AA6" s="377">
        <f t="shared" si="1"/>
        <v>0</v>
      </c>
    </row>
    <row r="7" spans="2:29" ht="14.45" customHeight="1" thickBot="1">
      <c r="B7" s="1452"/>
      <c r="C7" s="153">
        <v>1</v>
      </c>
      <c r="D7" s="290" t="b">
        <f>IF(INSTRUCTIONS!Q7="Advanced", 'Advanced - Teachers'!$K$22)</f>
        <v>0</v>
      </c>
      <c r="E7" s="85">
        <f>'Advanced - Teachers'!$L$22</f>
        <v>0</v>
      </c>
      <c r="F7" s="259">
        <f>E7-E6</f>
        <v>0</v>
      </c>
      <c r="G7" s="258">
        <f t="shared" ref="G7:G36" si="2">E7-$E$6</f>
        <v>0</v>
      </c>
      <c r="H7" s="258">
        <f t="shared" ref="H7:H36" si="3">G7*D7</f>
        <v>0</v>
      </c>
      <c r="N7" s="412"/>
      <c r="O7" s="48" t="s">
        <v>444</v>
      </c>
      <c r="P7" s="39">
        <f>$P$17</f>
        <v>0</v>
      </c>
      <c r="Q7" s="39">
        <f>Q17</f>
        <v>0</v>
      </c>
    </row>
    <row r="8" spans="2:29">
      <c r="B8" s="1452"/>
      <c r="C8" s="153">
        <v>2</v>
      </c>
      <c r="D8" s="290" t="b">
        <f>IF(INSTRUCTIONS!Q7="Advanced", 'Advanced - Teachers'!$K$23)</f>
        <v>0</v>
      </c>
      <c r="E8" s="85">
        <f>'Advanced - Teachers'!$L$23</f>
        <v>0</v>
      </c>
      <c r="F8" s="259">
        <f t="shared" ref="F8:F36" si="4">E8-E7</f>
        <v>0</v>
      </c>
      <c r="G8" s="258">
        <f t="shared" si="2"/>
        <v>0</v>
      </c>
      <c r="H8" s="258">
        <f t="shared" si="3"/>
        <v>0</v>
      </c>
      <c r="N8" s="22"/>
      <c r="O8" s="22"/>
      <c r="P8" s="28"/>
      <c r="Q8" s="28"/>
    </row>
    <row r="9" spans="2:29" ht="15" thickBot="1">
      <c r="B9" s="1452"/>
      <c r="C9" s="153">
        <v>3</v>
      </c>
      <c r="D9" s="290" t="b">
        <f>IF(INSTRUCTIONS!Q7="Advanced", 'Advanced - Teachers'!$K$24)</f>
        <v>0</v>
      </c>
      <c r="E9" s="85">
        <f>'Advanced - Teachers'!$L$24</f>
        <v>0</v>
      </c>
      <c r="F9" s="259">
        <f t="shared" si="4"/>
        <v>0</v>
      </c>
      <c r="G9" s="258">
        <f t="shared" si="2"/>
        <v>0</v>
      </c>
      <c r="H9" s="258">
        <f t="shared" si="3"/>
        <v>0</v>
      </c>
    </row>
    <row r="10" spans="2:29" ht="15" thickBot="1">
      <c r="B10" s="1452"/>
      <c r="C10" s="153">
        <v>4</v>
      </c>
      <c r="D10" s="290" t="b">
        <f>IF(INSTRUCTIONS!Q7="Advanced", 'Advanced - Teachers'!$K$25)</f>
        <v>0</v>
      </c>
      <c r="E10" s="85">
        <f>'Advanced - Teachers'!$L$25</f>
        <v>0</v>
      </c>
      <c r="F10" s="259">
        <f t="shared" si="4"/>
        <v>0</v>
      </c>
      <c r="G10" s="258">
        <f t="shared" si="2"/>
        <v>0</v>
      </c>
      <c r="H10" s="258">
        <f t="shared" si="3"/>
        <v>0</v>
      </c>
      <c r="N10" s="127"/>
      <c r="O10" s="128"/>
      <c r="P10" s="319" t="s">
        <v>334</v>
      </c>
      <c r="Q10" s="318" t="s">
        <v>86</v>
      </c>
    </row>
    <row r="11" spans="2:29">
      <c r="B11" s="1452"/>
      <c r="C11" s="153">
        <v>5</v>
      </c>
      <c r="D11" s="290" t="b">
        <f>IF(INSTRUCTIONS!Q7="Advanced", 'Advanced - Teachers'!$K$26)</f>
        <v>0</v>
      </c>
      <c r="E11" s="85">
        <f>'Advanced - Teachers'!$L$26</f>
        <v>0</v>
      </c>
      <c r="F11" s="259">
        <f t="shared" si="4"/>
        <v>0</v>
      </c>
      <c r="G11" s="258">
        <f t="shared" si="2"/>
        <v>0</v>
      </c>
      <c r="H11" s="258">
        <f t="shared" si="3"/>
        <v>0</v>
      </c>
      <c r="N11" s="1477" t="s">
        <v>93</v>
      </c>
      <c r="O11" s="23" t="s">
        <v>313</v>
      </c>
      <c r="P11" s="45" t="b">
        <f>$E$47</f>
        <v>0</v>
      </c>
      <c r="Q11" s="320" t="b">
        <f>$F$47</f>
        <v>0</v>
      </c>
    </row>
    <row r="12" spans="2:29" ht="15" thickBot="1">
      <c r="B12" s="1452"/>
      <c r="C12" s="153">
        <v>6</v>
      </c>
      <c r="D12" s="290" t="b">
        <f>IF(INSTRUCTIONS!Q7="Advanced", 'Advanced - Teachers'!$K$27)</f>
        <v>0</v>
      </c>
      <c r="E12" s="85">
        <f>'Advanced - Teachers'!$L$27</f>
        <v>0</v>
      </c>
      <c r="F12" s="259">
        <f t="shared" si="4"/>
        <v>0</v>
      </c>
      <c r="G12" s="258">
        <f t="shared" si="2"/>
        <v>0</v>
      </c>
      <c r="H12" s="258">
        <f t="shared" si="3"/>
        <v>0</v>
      </c>
      <c r="N12" s="1478"/>
      <c r="O12" s="25" t="s">
        <v>314</v>
      </c>
      <c r="P12" s="40" t="b">
        <f>$E$46</f>
        <v>0</v>
      </c>
      <c r="Q12" s="50" t="b">
        <f>$F$46</f>
        <v>0</v>
      </c>
    </row>
    <row r="13" spans="2:29">
      <c r="B13" s="1452"/>
      <c r="C13" s="153">
        <v>7</v>
      </c>
      <c r="D13" s="290" t="b">
        <f>IF(INSTRUCTIONS!Q7="Advanced", 'Advanced - Teachers'!$K$28)</f>
        <v>0</v>
      </c>
      <c r="E13" s="85">
        <f>'Advanced - Teachers'!$L$28</f>
        <v>0</v>
      </c>
      <c r="F13" s="259">
        <f t="shared" si="4"/>
        <v>0</v>
      </c>
      <c r="G13" s="258">
        <f t="shared" si="2"/>
        <v>0</v>
      </c>
      <c r="H13" s="258">
        <f t="shared" si="3"/>
        <v>0</v>
      </c>
      <c r="N13" s="1478"/>
      <c r="O13" s="23" t="s">
        <v>316</v>
      </c>
      <c r="P13" s="54" t="b">
        <f>$D$46</f>
        <v>0</v>
      </c>
      <c r="Q13" s="173" t="b">
        <f>$D$46</f>
        <v>0</v>
      </c>
    </row>
    <row r="14" spans="2:29" ht="32.1" customHeight="1" thickBot="1">
      <c r="B14" s="1452"/>
      <c r="C14" s="153">
        <v>8</v>
      </c>
      <c r="D14" s="290" t="b">
        <f>IF(INSTRUCTIONS!Q7="Advanced", 'Advanced - Teachers'!$K$29)</f>
        <v>0</v>
      </c>
      <c r="E14" s="85">
        <f>'Advanced - Teachers'!$L$29</f>
        <v>0</v>
      </c>
      <c r="F14" s="259">
        <f t="shared" si="4"/>
        <v>0</v>
      </c>
      <c r="G14" s="258">
        <f t="shared" si="2"/>
        <v>0</v>
      </c>
      <c r="H14" s="258">
        <f t="shared" si="3"/>
        <v>0</v>
      </c>
      <c r="N14" s="1478"/>
      <c r="O14" s="25" t="s">
        <v>317</v>
      </c>
      <c r="P14" s="55" t="b">
        <f>$D$47</f>
        <v>0</v>
      </c>
      <c r="Q14" s="321" t="b">
        <f>$D$47</f>
        <v>0</v>
      </c>
    </row>
    <row r="15" spans="2:29" ht="18.600000000000001" customHeight="1">
      <c r="B15" s="1452"/>
      <c r="C15" s="153">
        <v>9</v>
      </c>
      <c r="D15" s="290" t="b">
        <f>IF(INSTRUCTIONS!Q7="Advanced", 'Advanced - Teachers'!$K$30)</f>
        <v>0</v>
      </c>
      <c r="E15" s="85">
        <f>'Advanced - Teachers'!$L$30</f>
        <v>0</v>
      </c>
      <c r="F15" s="259">
        <f t="shared" si="4"/>
        <v>0</v>
      </c>
      <c r="G15" s="258">
        <f t="shared" si="2"/>
        <v>0</v>
      </c>
      <c r="H15" s="258">
        <f t="shared" si="3"/>
        <v>0</v>
      </c>
      <c r="N15" s="1478"/>
      <c r="O15" s="23" t="s">
        <v>318</v>
      </c>
      <c r="P15" s="45">
        <f>P13*P12</f>
        <v>0</v>
      </c>
      <c r="Q15" s="320">
        <f>Q12*Q13</f>
        <v>0</v>
      </c>
    </row>
    <row r="16" spans="2:29" ht="32.1" customHeight="1" thickBot="1">
      <c r="B16" s="1452"/>
      <c r="C16" s="153">
        <v>10</v>
      </c>
      <c r="D16" s="290" t="b">
        <f>IF(INSTRUCTIONS!Q7="Advanced", 'Advanced - Teachers'!$K$31)</f>
        <v>0</v>
      </c>
      <c r="E16" s="85">
        <f>'Advanced - Teachers'!$L$31</f>
        <v>0</v>
      </c>
      <c r="F16" s="259">
        <f t="shared" si="4"/>
        <v>0</v>
      </c>
      <c r="G16" s="258">
        <f t="shared" si="2"/>
        <v>0</v>
      </c>
      <c r="H16" s="258">
        <f t="shared" si="3"/>
        <v>0</v>
      </c>
      <c r="N16" s="1478"/>
      <c r="O16" s="6" t="s">
        <v>321</v>
      </c>
      <c r="P16" s="40">
        <f>P14*P11</f>
        <v>0</v>
      </c>
      <c r="Q16" s="174">
        <f>Q11*Q14</f>
        <v>0</v>
      </c>
    </row>
    <row r="17" spans="2:17" ht="32.1" customHeight="1" thickBot="1">
      <c r="B17" s="1452"/>
      <c r="C17" s="153">
        <v>11</v>
      </c>
      <c r="D17" s="290" t="b">
        <f>IF(INSTRUCTIONS!Q7="Advanced", 'Advanced - Teachers'!$K$32)</f>
        <v>0</v>
      </c>
      <c r="E17" s="85">
        <f>'Advanced - Teachers'!$L$32</f>
        <v>0</v>
      </c>
      <c r="F17" s="259">
        <f t="shared" si="4"/>
        <v>0</v>
      </c>
      <c r="G17" s="258">
        <f t="shared" si="2"/>
        <v>0</v>
      </c>
      <c r="H17" s="258">
        <f t="shared" si="3"/>
        <v>0</v>
      </c>
      <c r="N17" s="1479"/>
      <c r="O17" s="21" t="s">
        <v>301</v>
      </c>
      <c r="P17" s="46">
        <f>P15+P16</f>
        <v>0</v>
      </c>
      <c r="Q17" s="174">
        <f>SUM(Q15:Q16)</f>
        <v>0</v>
      </c>
    </row>
    <row r="18" spans="2:17" ht="20.45" customHeight="1" thickBot="1">
      <c r="B18" s="1452"/>
      <c r="C18" s="153">
        <v>12</v>
      </c>
      <c r="D18" s="290" t="b">
        <f>IF(INSTRUCTIONS!Q7="Advanced", 'Advanced - Teachers'!$K$33)</f>
        <v>0</v>
      </c>
      <c r="E18" s="85">
        <f>'Advanced - Teachers'!$L$33</f>
        <v>0</v>
      </c>
      <c r="F18" s="259">
        <f t="shared" si="4"/>
        <v>0</v>
      </c>
      <c r="G18" s="258">
        <f t="shared" si="2"/>
        <v>0</v>
      </c>
      <c r="H18" s="258">
        <f t="shared" si="3"/>
        <v>0</v>
      </c>
    </row>
    <row r="19" spans="2:17" ht="15.6" customHeight="1" thickBot="1">
      <c r="B19" s="1452"/>
      <c r="C19" s="153">
        <v>13</v>
      </c>
      <c r="D19" s="290" t="b">
        <f>IF(INSTRUCTIONS!Q7="Advanced", 'Advanced - Teachers'!$K$34)</f>
        <v>0</v>
      </c>
      <c r="E19" s="85">
        <f>'Advanced - Teachers'!$L$34</f>
        <v>0</v>
      </c>
      <c r="F19" s="259">
        <f t="shared" si="4"/>
        <v>0</v>
      </c>
      <c r="G19" s="258">
        <f t="shared" si="2"/>
        <v>0</v>
      </c>
      <c r="H19" s="258">
        <f t="shared" si="3"/>
        <v>0</v>
      </c>
      <c r="N19" s="37"/>
      <c r="O19" s="47"/>
      <c r="P19" s="404" t="s">
        <v>85</v>
      </c>
      <c r="Q19" s="403" t="s">
        <v>86</v>
      </c>
    </row>
    <row r="20" spans="2:17" ht="21.95" customHeight="1">
      <c r="B20" s="1452"/>
      <c r="C20" s="153">
        <v>14</v>
      </c>
      <c r="D20" s="290" t="b">
        <f>IF(INSTRUCTIONS!Q7="Advanced", 'Advanced - Teachers'!$K$35)</f>
        <v>0</v>
      </c>
      <c r="E20" s="85">
        <f>'Advanced - Teachers'!$L$35</f>
        <v>0</v>
      </c>
      <c r="F20" s="259">
        <f t="shared" si="4"/>
        <v>0</v>
      </c>
      <c r="G20" s="258">
        <f t="shared" si="2"/>
        <v>0</v>
      </c>
      <c r="H20" s="258">
        <f t="shared" si="3"/>
        <v>0</v>
      </c>
      <c r="N20" s="1486" t="s">
        <v>319</v>
      </c>
      <c r="O20" s="23" t="s">
        <v>445</v>
      </c>
      <c r="P20" s="406">
        <f>$D$69*$D$39</f>
        <v>0</v>
      </c>
      <c r="Q20" s="406">
        <f>$E$69*$D$39</f>
        <v>0</v>
      </c>
    </row>
    <row r="21" spans="2:17">
      <c r="B21" s="1452"/>
      <c r="C21" s="153">
        <v>15</v>
      </c>
      <c r="D21" s="290" t="b">
        <f>IF(INSTRUCTIONS!Q7="Advanced", 'Advanced - Teachers'!$K$36)</f>
        <v>0</v>
      </c>
      <c r="E21" s="85">
        <f>'Advanced - Teachers'!$L$36</f>
        <v>0</v>
      </c>
      <c r="F21" s="259">
        <f t="shared" si="4"/>
        <v>0</v>
      </c>
      <c r="G21" s="258">
        <f t="shared" si="2"/>
        <v>0</v>
      </c>
      <c r="H21" s="258">
        <f t="shared" si="3"/>
        <v>0</v>
      </c>
      <c r="N21" s="1492"/>
      <c r="O21" s="24" t="s">
        <v>330</v>
      </c>
      <c r="P21" s="407">
        <f>P20*D68</f>
        <v>0</v>
      </c>
      <c r="Q21" s="407">
        <f>Q20*$E$68</f>
        <v>0</v>
      </c>
    </row>
    <row r="22" spans="2:17" ht="14.45" customHeight="1">
      <c r="B22" s="1452"/>
      <c r="C22" s="153">
        <v>16</v>
      </c>
      <c r="D22" s="290" t="b">
        <f>IF(INSTRUCTIONS!Q7="Advanced", 'Advanced - Teachers'!$K$37)</f>
        <v>0</v>
      </c>
      <c r="E22" s="85">
        <f>'Advanced - Teachers'!$L$37</f>
        <v>0</v>
      </c>
      <c r="F22" s="259">
        <f t="shared" si="4"/>
        <v>0</v>
      </c>
      <c r="G22" s="258">
        <f t="shared" si="2"/>
        <v>0</v>
      </c>
      <c r="H22" s="258">
        <f t="shared" si="3"/>
        <v>0</v>
      </c>
      <c r="N22" s="1492"/>
      <c r="O22" s="24" t="s">
        <v>446</v>
      </c>
      <c r="P22" s="408">
        <f>$D$71*$D$39</f>
        <v>0</v>
      </c>
      <c r="Q22" s="408">
        <f>$E$71*$D$39</f>
        <v>0</v>
      </c>
    </row>
    <row r="23" spans="2:17">
      <c r="B23" s="1452"/>
      <c r="C23" s="153">
        <v>17</v>
      </c>
      <c r="D23" s="290" t="b">
        <f>IF(INSTRUCTIONS!Q7="Advanced", 'Advanced - Teachers'!$K$38)</f>
        <v>0</v>
      </c>
      <c r="E23" s="85">
        <f>'Advanced - Teachers'!$L$38</f>
        <v>0</v>
      </c>
      <c r="F23" s="259">
        <f t="shared" si="4"/>
        <v>0</v>
      </c>
      <c r="G23" s="258">
        <f t="shared" si="2"/>
        <v>0</v>
      </c>
      <c r="H23" s="258">
        <f t="shared" si="3"/>
        <v>0</v>
      </c>
      <c r="N23" s="1492"/>
      <c r="O23" s="24" t="s">
        <v>331</v>
      </c>
      <c r="P23" s="407">
        <f>P22*D70</f>
        <v>0</v>
      </c>
      <c r="Q23" s="407">
        <f>Q22*$E$70</f>
        <v>0</v>
      </c>
    </row>
    <row r="24" spans="2:17">
      <c r="B24" s="1452"/>
      <c r="C24" s="153">
        <v>18</v>
      </c>
      <c r="D24" s="290" t="b">
        <f>IF(INSTRUCTIONS!Q7="Advanced", 'Advanced - Teachers'!$K$39)</f>
        <v>0</v>
      </c>
      <c r="E24" s="85">
        <f>'Advanced - Teachers'!$L$39</f>
        <v>0</v>
      </c>
      <c r="F24" s="259">
        <f t="shared" si="4"/>
        <v>0</v>
      </c>
      <c r="G24" s="258">
        <f t="shared" si="2"/>
        <v>0</v>
      </c>
      <c r="H24" s="258">
        <f t="shared" si="3"/>
        <v>0</v>
      </c>
      <c r="N24" s="1492"/>
      <c r="O24" s="24" t="s">
        <v>447</v>
      </c>
      <c r="P24" s="408">
        <f>$D$73*$D$39</f>
        <v>0</v>
      </c>
      <c r="Q24" s="408">
        <f>$E$73*$D$39</f>
        <v>0</v>
      </c>
    </row>
    <row r="25" spans="2:17">
      <c r="B25" s="1452"/>
      <c r="C25" s="153">
        <v>19</v>
      </c>
      <c r="D25" s="290" t="b">
        <f>IF(INSTRUCTIONS!Q7="Advanced", 'Advanced - Teachers'!$K$40)</f>
        <v>0</v>
      </c>
      <c r="E25" s="85">
        <f>'Advanced - Teachers'!$L$40</f>
        <v>0</v>
      </c>
      <c r="F25" s="259">
        <f t="shared" si="4"/>
        <v>0</v>
      </c>
      <c r="G25" s="258">
        <f t="shared" si="2"/>
        <v>0</v>
      </c>
      <c r="H25" s="258">
        <f t="shared" si="3"/>
        <v>0</v>
      </c>
      <c r="N25" s="1492"/>
      <c r="O25" s="24" t="s">
        <v>332</v>
      </c>
      <c r="P25" s="407">
        <f>P24*D72</f>
        <v>0</v>
      </c>
      <c r="Q25" s="407">
        <f>Q24*$E$72</f>
        <v>0</v>
      </c>
    </row>
    <row r="26" spans="2:17">
      <c r="B26" s="1452"/>
      <c r="C26" s="153">
        <v>20</v>
      </c>
      <c r="D26" s="290" t="b">
        <f>IF(INSTRUCTIONS!Q7="Advanced", 'Advanced - Teachers'!$K$41)</f>
        <v>0</v>
      </c>
      <c r="E26" s="85">
        <f>'Advanced - Teachers'!$L$41</f>
        <v>0</v>
      </c>
      <c r="F26" s="259">
        <f t="shared" si="4"/>
        <v>0</v>
      </c>
      <c r="G26" s="258">
        <f t="shared" si="2"/>
        <v>0</v>
      </c>
      <c r="H26" s="258">
        <f t="shared" si="3"/>
        <v>0</v>
      </c>
      <c r="N26" s="1492"/>
      <c r="O26" s="24" t="s">
        <v>448</v>
      </c>
      <c r="P26" s="408">
        <f>$D$75*$D$39</f>
        <v>0</v>
      </c>
      <c r="Q26" s="408">
        <f>$E$75*$D$39</f>
        <v>0</v>
      </c>
    </row>
    <row r="27" spans="2:17" ht="30.6" customHeight="1">
      <c r="B27" s="1452"/>
      <c r="C27" s="153">
        <v>21</v>
      </c>
      <c r="D27" s="290" t="b">
        <f>IF(INSTRUCTIONS!Q7="Advanced", 'Advanced - Teachers'!$K$42)</f>
        <v>0</v>
      </c>
      <c r="E27" s="85">
        <f>'Advanced - Teachers'!$L$42</f>
        <v>0</v>
      </c>
      <c r="F27" s="259">
        <f t="shared" si="4"/>
        <v>0</v>
      </c>
      <c r="G27" s="258">
        <f t="shared" si="2"/>
        <v>0</v>
      </c>
      <c r="H27" s="258">
        <f t="shared" si="3"/>
        <v>0</v>
      </c>
      <c r="N27" s="1492"/>
      <c r="O27" s="24" t="s">
        <v>333</v>
      </c>
      <c r="P27" s="407">
        <f>P26*$D$74</f>
        <v>0</v>
      </c>
      <c r="Q27" s="407">
        <f>Q26*$E$74</f>
        <v>0</v>
      </c>
    </row>
    <row r="28" spans="2:17">
      <c r="B28" s="1452"/>
      <c r="C28" s="153">
        <v>22</v>
      </c>
      <c r="D28" s="290" t="b">
        <f>IF(INSTRUCTIONS!Q7="Advanced", 'Advanced - Teachers'!$K$43)</f>
        <v>0</v>
      </c>
      <c r="E28" s="85">
        <f>'Advanced - Teachers'!$L$43</f>
        <v>0</v>
      </c>
      <c r="F28" s="259">
        <f t="shared" si="4"/>
        <v>0</v>
      </c>
      <c r="G28" s="258">
        <f t="shared" si="2"/>
        <v>0</v>
      </c>
      <c r="H28" s="258">
        <f t="shared" si="3"/>
        <v>0</v>
      </c>
      <c r="N28" s="1492"/>
      <c r="O28" s="24" t="s">
        <v>449</v>
      </c>
      <c r="P28" s="408">
        <f>$D$77*$D$39</f>
        <v>0</v>
      </c>
      <c r="Q28" s="408">
        <f>$E$77*$D$39</f>
        <v>0</v>
      </c>
    </row>
    <row r="29" spans="2:17">
      <c r="B29" s="1452"/>
      <c r="C29" s="153">
        <v>23</v>
      </c>
      <c r="D29" s="290" t="b">
        <f>IF(INSTRUCTIONS!Q7="Advanced", 'Advanced - Teachers'!$K$44)</f>
        <v>0</v>
      </c>
      <c r="E29" s="85">
        <f>'Advanced - Teachers'!$L$44</f>
        <v>0</v>
      </c>
      <c r="F29" s="259">
        <f t="shared" si="4"/>
        <v>0</v>
      </c>
      <c r="G29" s="258">
        <f t="shared" si="2"/>
        <v>0</v>
      </c>
      <c r="H29" s="258">
        <f t="shared" si="3"/>
        <v>0</v>
      </c>
      <c r="N29" s="1492"/>
      <c r="O29" s="24" t="s">
        <v>335</v>
      </c>
      <c r="P29" s="407">
        <f>P28*$D$76</f>
        <v>0</v>
      </c>
      <c r="Q29" s="407">
        <f>Q28*$E$76</f>
        <v>0</v>
      </c>
    </row>
    <row r="30" spans="2:17">
      <c r="B30" s="1452"/>
      <c r="C30" s="153">
        <v>24</v>
      </c>
      <c r="D30" s="290" t="b">
        <f>IF(INSTRUCTIONS!Q7="Advanced", 'Advanced - Teachers'!$K$45)</f>
        <v>0</v>
      </c>
      <c r="E30" s="85">
        <f>'Advanced - Teachers'!$L$45</f>
        <v>0</v>
      </c>
      <c r="F30" s="259">
        <f t="shared" si="4"/>
        <v>0</v>
      </c>
      <c r="G30" s="258">
        <f t="shared" si="2"/>
        <v>0</v>
      </c>
      <c r="H30" s="258">
        <f t="shared" si="3"/>
        <v>0</v>
      </c>
      <c r="N30" s="1492"/>
      <c r="O30" s="24" t="s">
        <v>327</v>
      </c>
      <c r="P30" s="113">
        <f>SUM(P20,P22,P24,P26,P28)</f>
        <v>0</v>
      </c>
      <c r="Q30" s="113">
        <f>SUM(Q20,Q22,Q24,Q26,Q28)</f>
        <v>0</v>
      </c>
    </row>
    <row r="31" spans="2:17" ht="15" thickBot="1">
      <c r="B31" s="1452"/>
      <c r="C31" s="153">
        <v>25</v>
      </c>
      <c r="D31" s="290" t="b">
        <f>IF(INSTRUCTIONS!Q7="Advanced", 'Advanced - Teachers'!$K$46)</f>
        <v>0</v>
      </c>
      <c r="E31" s="85">
        <f>'Advanced - Teachers'!$L$46</f>
        <v>0</v>
      </c>
      <c r="F31" s="259">
        <f t="shared" si="4"/>
        <v>0</v>
      </c>
      <c r="G31" s="258">
        <f t="shared" si="2"/>
        <v>0</v>
      </c>
      <c r="H31" s="258">
        <f t="shared" si="3"/>
        <v>0</v>
      </c>
      <c r="N31" s="1487"/>
      <c r="O31" s="6" t="s">
        <v>328</v>
      </c>
      <c r="P31" s="405">
        <f>SUM(P21,P23,P25,P27,P29)</f>
        <v>0</v>
      </c>
      <c r="Q31" s="405">
        <f>SUM(Q21,Q23,Q25,Q27,Q29)</f>
        <v>0</v>
      </c>
    </row>
    <row r="32" spans="2:17" ht="15" thickBot="1">
      <c r="B32" s="1452"/>
      <c r="C32" s="153">
        <v>26</v>
      </c>
      <c r="D32" s="290" t="b">
        <f>IF(INSTRUCTIONS!Q7="Advanced", 'Advanced - Teachers'!$K$47)</f>
        <v>0</v>
      </c>
      <c r="E32" s="85">
        <f>'Advanced - Teachers'!$L$47</f>
        <v>0</v>
      </c>
      <c r="F32" s="259">
        <f t="shared" si="4"/>
        <v>0</v>
      </c>
      <c r="G32" s="258">
        <f t="shared" si="2"/>
        <v>0</v>
      </c>
      <c r="H32" s="258">
        <f t="shared" si="3"/>
        <v>0</v>
      </c>
    </row>
    <row r="33" spans="2:17">
      <c r="B33" s="1452"/>
      <c r="C33" s="153">
        <v>27</v>
      </c>
      <c r="D33" s="290" t="b">
        <f>IF(INSTRUCTIONS!Q7="Advanced", 'Advanced - Teachers'!$K$48)</f>
        <v>0</v>
      </c>
      <c r="E33" s="85">
        <f>'Advanced - Teachers'!$L$48</f>
        <v>0</v>
      </c>
      <c r="F33" s="259">
        <f t="shared" si="4"/>
        <v>0</v>
      </c>
      <c r="G33" s="258">
        <f t="shared" si="2"/>
        <v>0</v>
      </c>
      <c r="H33" s="258">
        <f t="shared" si="3"/>
        <v>0</v>
      </c>
      <c r="N33" s="1486" t="s">
        <v>319</v>
      </c>
      <c r="O33" s="37" t="s">
        <v>330</v>
      </c>
      <c r="P33" s="170">
        <f>D80*F80</f>
        <v>0</v>
      </c>
      <c r="Q33" s="263">
        <f>E80*G80</f>
        <v>0</v>
      </c>
    </row>
    <row r="34" spans="2:17" ht="14.45" customHeight="1">
      <c r="B34" s="1452"/>
      <c r="C34" s="153">
        <v>28</v>
      </c>
      <c r="D34" s="290" t="b">
        <f>IF(INSTRUCTIONS!Q7="Advanced", 'Advanced - Teachers'!$K$49)</f>
        <v>0</v>
      </c>
      <c r="E34" s="85">
        <f>'Advanced - Teachers'!$L$49</f>
        <v>0</v>
      </c>
      <c r="F34" s="259">
        <f t="shared" si="4"/>
        <v>0</v>
      </c>
      <c r="G34" s="258">
        <f t="shared" si="2"/>
        <v>0</v>
      </c>
      <c r="H34" s="258">
        <f t="shared" si="3"/>
        <v>0</v>
      </c>
      <c r="N34" s="1492"/>
      <c r="O34" s="66" t="s">
        <v>331</v>
      </c>
      <c r="P34" s="184">
        <f t="shared" ref="P34:P37" si="5">D81*F81</f>
        <v>0</v>
      </c>
      <c r="Q34" s="264">
        <f t="shared" ref="Q34:Q37" si="6">E81*G81</f>
        <v>0</v>
      </c>
    </row>
    <row r="35" spans="2:17">
      <c r="B35" s="1452"/>
      <c r="C35" s="153">
        <v>29</v>
      </c>
      <c r="D35" s="290" t="b">
        <f>IF(INSTRUCTIONS!Q7="Advanced", 'Advanced - Teachers'!$K$50)</f>
        <v>0</v>
      </c>
      <c r="E35" s="85">
        <f>'Advanced - Teachers'!$L$50</f>
        <v>0</v>
      </c>
      <c r="F35" s="259">
        <f t="shared" si="4"/>
        <v>0</v>
      </c>
      <c r="G35" s="258">
        <f t="shared" si="2"/>
        <v>0</v>
      </c>
      <c r="H35" s="258">
        <f t="shared" si="3"/>
        <v>0</v>
      </c>
      <c r="N35" s="1492"/>
      <c r="O35" s="66" t="s">
        <v>332</v>
      </c>
      <c r="P35" s="184">
        <f t="shared" si="5"/>
        <v>0</v>
      </c>
      <c r="Q35" s="264">
        <f t="shared" si="6"/>
        <v>0</v>
      </c>
    </row>
    <row r="36" spans="2:17" ht="15" thickBot="1">
      <c r="B36" s="1458"/>
      <c r="C36" s="90">
        <v>30</v>
      </c>
      <c r="D36" s="324" t="b">
        <f>IF(INSTRUCTIONS!Q7="Advanced", 'Advanced - Teachers'!$K$51)</f>
        <v>0</v>
      </c>
      <c r="E36" s="87">
        <f>'Advanced - Teachers'!$L$51</f>
        <v>0</v>
      </c>
      <c r="F36" s="259">
        <f t="shared" si="4"/>
        <v>0</v>
      </c>
      <c r="G36" s="258">
        <f t="shared" si="2"/>
        <v>0</v>
      </c>
      <c r="H36" s="258">
        <f t="shared" si="3"/>
        <v>0</v>
      </c>
      <c r="N36" s="1492"/>
      <c r="O36" s="66" t="s">
        <v>333</v>
      </c>
      <c r="P36" s="184">
        <f t="shared" si="5"/>
        <v>0</v>
      </c>
      <c r="Q36" s="264">
        <f t="shared" si="6"/>
        <v>0</v>
      </c>
    </row>
    <row r="37" spans="2:17" ht="15" thickBot="1">
      <c r="G37" s="355" t="s">
        <v>450</v>
      </c>
      <c r="H37" s="220">
        <f>SUM(H7:H36)</f>
        <v>0</v>
      </c>
      <c r="N37" s="1492"/>
      <c r="O37" s="66" t="s">
        <v>335</v>
      </c>
      <c r="P37" s="184">
        <f t="shared" si="5"/>
        <v>0</v>
      </c>
      <c r="Q37" s="264">
        <f t="shared" si="6"/>
        <v>0</v>
      </c>
    </row>
    <row r="38" spans="2:17" ht="15" thickBot="1">
      <c r="N38" s="1487"/>
      <c r="O38" s="146" t="s">
        <v>451</v>
      </c>
      <c r="P38" s="240">
        <f>SUM(P33:P37)</f>
        <v>0</v>
      </c>
      <c r="Q38" s="235">
        <f>SUM(Q33:Q37)</f>
        <v>0</v>
      </c>
    </row>
    <row r="39" spans="2:17" ht="15" thickBot="1">
      <c r="B39" s="26" t="s">
        <v>241</v>
      </c>
      <c r="C39" s="126" t="s">
        <v>452</v>
      </c>
      <c r="D39" s="306">
        <f>SUM(D6:D36)</f>
        <v>0</v>
      </c>
    </row>
    <row r="40" spans="2:17" ht="15" thickBot="1">
      <c r="F40" s="140"/>
      <c r="N40" s="127"/>
      <c r="O40" s="128"/>
      <c r="P40" s="319" t="s">
        <v>85</v>
      </c>
      <c r="Q40" s="318" t="s">
        <v>86</v>
      </c>
    </row>
    <row r="41" spans="2:17" ht="15" customHeight="1" thickBot="1">
      <c r="B41" s="1451" t="s">
        <v>453</v>
      </c>
      <c r="C41" s="123"/>
      <c r="D41" s="125" t="s">
        <v>85</v>
      </c>
      <c r="N41" s="1488" t="s">
        <v>336</v>
      </c>
      <c r="O41" s="23" t="s">
        <v>342</v>
      </c>
      <c r="P41" s="54">
        <f>$D$88*$D$39</f>
        <v>0</v>
      </c>
      <c r="Q41" s="173">
        <f>$E$88*$D$39</f>
        <v>0</v>
      </c>
    </row>
    <row r="42" spans="2:17" ht="15" thickBot="1">
      <c r="B42" s="1458"/>
      <c r="C42" s="11" t="s">
        <v>454</v>
      </c>
      <c r="D42" s="18">
        <f>AVERAGE(F7:F36)</f>
        <v>0</v>
      </c>
      <c r="F42" s="112"/>
      <c r="N42" s="1489"/>
      <c r="O42" s="7" t="s">
        <v>343</v>
      </c>
      <c r="P42" s="41">
        <f>P41*$D$87</f>
        <v>0</v>
      </c>
      <c r="Q42" s="50">
        <f>Q41*$E$87</f>
        <v>0</v>
      </c>
    </row>
    <row r="43" spans="2:17" ht="15" thickBot="1">
      <c r="N43" s="1489"/>
      <c r="O43" s="24" t="s">
        <v>344</v>
      </c>
      <c r="P43" s="53">
        <f>$D$90*$D$39</f>
        <v>0</v>
      </c>
      <c r="Q43" s="113">
        <f>$E$90*$D$39</f>
        <v>0</v>
      </c>
    </row>
    <row r="44" spans="2:17" ht="15" thickBot="1">
      <c r="B44" s="93"/>
      <c r="C44" s="78"/>
      <c r="D44" s="125" t="s">
        <v>143</v>
      </c>
      <c r="E44" s="125" t="s">
        <v>293</v>
      </c>
      <c r="F44" s="124" t="s">
        <v>294</v>
      </c>
      <c r="N44" s="1489"/>
      <c r="O44" s="7" t="s">
        <v>346</v>
      </c>
      <c r="P44" s="41">
        <f>P43*$D$89</f>
        <v>0</v>
      </c>
      <c r="Q44" s="50">
        <f>Q43*$E$89</f>
        <v>0</v>
      </c>
    </row>
    <row r="45" spans="2:17" ht="15" thickBot="1">
      <c r="B45" s="1477" t="s">
        <v>93</v>
      </c>
      <c r="C45" s="36" t="s">
        <v>102</v>
      </c>
      <c r="D45" s="291" t="b">
        <f>IF(INSTRUCTIONS!Q7="Advanced", 'Advanced - Teachers'!$K$61)</f>
        <v>0</v>
      </c>
      <c r="E45" s="215"/>
      <c r="F45" s="215"/>
      <c r="N45" s="1490"/>
      <c r="O45" s="6" t="s">
        <v>348</v>
      </c>
      <c r="P45" s="40">
        <f>P42+P44</f>
        <v>0</v>
      </c>
      <c r="Q45" s="174">
        <f>Q42+Q44</f>
        <v>0</v>
      </c>
    </row>
    <row r="46" spans="2:17" ht="15" thickBot="1">
      <c r="B46" s="1478"/>
      <c r="C46" s="100" t="s">
        <v>104</v>
      </c>
      <c r="D46" s="291" t="b">
        <f>IF(INSTRUCTIONS!Q7="Advanced", 'Advanced - Teachers'!$K$62)</f>
        <v>0</v>
      </c>
      <c r="E46" s="19" t="b">
        <f>IF(INSTRUCTIONS!Q7="Advanced", 'Advanced - Teachers'!$L$62)</f>
        <v>0</v>
      </c>
      <c r="F46" s="19" t="b">
        <f>IF(INSTRUCTIONS!Q7="Advanced", 'Advanced - Teachers'!M62)</f>
        <v>0</v>
      </c>
    </row>
    <row r="47" spans="2:17" ht="15" thickBot="1">
      <c r="B47" s="1479"/>
      <c r="C47" s="60" t="s">
        <v>297</v>
      </c>
      <c r="D47" s="292" t="b">
        <f>IF(INSTRUCTIONS!Q7="Advanced", 'Advanced - Teachers'!$K$63)</f>
        <v>0</v>
      </c>
      <c r="E47" s="18" t="b">
        <f>IF(INSTRUCTIONS!Q7="Advanced", 'Advanced - Teachers'!$L$63)</f>
        <v>0</v>
      </c>
      <c r="F47" s="18" t="b">
        <f>IF(INSTRUCTIONS!Q7="Advanced", 'Advanced - Teachers'!M63)</f>
        <v>0</v>
      </c>
      <c r="N47" s="127"/>
      <c r="O47" s="128"/>
      <c r="P47" s="319" t="s">
        <v>85</v>
      </c>
      <c r="Q47" s="318" t="s">
        <v>86</v>
      </c>
    </row>
    <row r="48" spans="2:17" ht="15" thickBot="1">
      <c r="N48" s="1529" t="s">
        <v>101</v>
      </c>
      <c r="O48" s="22" t="str">
        <f>CONCATENATE("Total # of ",C54," teachers")</f>
        <v>Total # of 0 teachers</v>
      </c>
      <c r="P48" s="147">
        <f>$D$54*$D$39</f>
        <v>0</v>
      </c>
      <c r="Q48" s="378">
        <f>$D$54*$D$39</f>
        <v>0</v>
      </c>
    </row>
    <row r="49" spans="2:18">
      <c r="B49" s="1462" t="s">
        <v>300</v>
      </c>
      <c r="C49" s="36" t="s">
        <v>301</v>
      </c>
      <c r="D49" s="293">
        <f>$Q$17</f>
        <v>0</v>
      </c>
      <c r="N49" s="1530"/>
      <c r="O49" s="22" t="str">
        <f>CONCATENATE("Total spending on ",C54," teachers")</f>
        <v>Total spending on 0 teachers</v>
      </c>
      <c r="P49" s="148">
        <f>P48*$E$54</f>
        <v>0</v>
      </c>
      <c r="Q49" s="41">
        <f>Q48*$F$54</f>
        <v>0</v>
      </c>
    </row>
    <row r="50" spans="2:18" ht="15" thickBot="1">
      <c r="B50" s="1464"/>
      <c r="N50" s="1530"/>
      <c r="O50" s="22" t="str">
        <f>CONCATENATE("Total # of ",C55," teachers")</f>
        <v>Total # of 0 teachers</v>
      </c>
      <c r="P50" s="149">
        <f>$D$55*$D$39</f>
        <v>0</v>
      </c>
      <c r="Q50" s="379">
        <f>$D$55*$D$39</f>
        <v>0</v>
      </c>
    </row>
    <row r="51" spans="2:18" ht="15" thickBot="1">
      <c r="N51" s="1530"/>
      <c r="O51" s="22" t="str">
        <f>CONCATENATE("Total spending on ",C55," teachers")</f>
        <v>Total spending on 0 teachers</v>
      </c>
      <c r="P51" s="50">
        <f>P50*$E$55</f>
        <v>0</v>
      </c>
      <c r="Q51" s="41">
        <f>Q50*$F$55</f>
        <v>0</v>
      </c>
      <c r="R51" s="289"/>
    </row>
    <row r="52" spans="2:18" ht="15" thickBot="1">
      <c r="B52" s="470"/>
      <c r="C52" s="295"/>
      <c r="D52" s="296" t="s">
        <v>292</v>
      </c>
      <c r="E52" s="296" t="s">
        <v>293</v>
      </c>
      <c r="F52" s="296" t="s">
        <v>294</v>
      </c>
      <c r="N52" s="1530"/>
      <c r="O52" s="22" t="str">
        <f>CONCATENATE("Total # of ",C56," teachers")</f>
        <v>Total # of 0 teachers</v>
      </c>
      <c r="P52" s="149">
        <f>$D$56*$D$39</f>
        <v>0</v>
      </c>
      <c r="Q52" s="379">
        <f>$D$56*$D$39</f>
        <v>0</v>
      </c>
    </row>
    <row r="53" spans="2:18">
      <c r="B53" s="1534" t="s">
        <v>101</v>
      </c>
      <c r="C53" s="298">
        <f>'Advanced - Teachers'!$J$68</f>
        <v>0</v>
      </c>
      <c r="D53" s="473" t="b">
        <f>IF(INSTRUCTIONS!Q7="Advanced", 'Advanced - Teachers'!$K$68)</f>
        <v>0</v>
      </c>
      <c r="E53" s="299" t="s">
        <v>455</v>
      </c>
      <c r="F53" s="299" t="s">
        <v>456</v>
      </c>
      <c r="N53" s="1530"/>
      <c r="O53" s="22" t="str">
        <f>CONCATENATE("Total spending on ",C56," teachers")</f>
        <v>Total spending on 0 teachers</v>
      </c>
      <c r="P53" s="148">
        <f>P52*$E$56</f>
        <v>0</v>
      </c>
      <c r="Q53" s="41">
        <f>Q52*$F$56</f>
        <v>0</v>
      </c>
    </row>
    <row r="54" spans="2:18">
      <c r="B54" s="1535"/>
      <c r="C54" s="301">
        <f>'Advanced - Teachers'!$J$69</f>
        <v>0</v>
      </c>
      <c r="D54" s="471" t="b">
        <f>IF(INSTRUCTIONS!Q7="Advanced", 'Advanced - Teachers'!$K$69)</f>
        <v>0</v>
      </c>
      <c r="E54" s="303" t="b">
        <f>IF(INSTRUCTIONS!Q7="Advanced", 'Advanced - Teachers'!$L$69)</f>
        <v>0</v>
      </c>
      <c r="F54" s="481" t="b">
        <f>IF(INSTRUCTIONS!Q7="Advanced", 'Advanced - Teachers'!$M$69)</f>
        <v>0</v>
      </c>
      <c r="N54" s="1530"/>
      <c r="O54" s="22" t="str">
        <f>CONCATENATE("Total # of ",C57," teachers")</f>
        <v>Total # of 0 teachers</v>
      </c>
      <c r="P54" s="149">
        <f>$D$57*$D$39</f>
        <v>0</v>
      </c>
      <c r="Q54" s="379">
        <f>$D$57*$D$39</f>
        <v>0</v>
      </c>
    </row>
    <row r="55" spans="2:18">
      <c r="B55" s="1535"/>
      <c r="C55" s="302">
        <f>'Advanced - Teachers'!$J$70</f>
        <v>0</v>
      </c>
      <c r="D55" s="471" t="b">
        <f>IF(INSTRUCTIONS!Q7="Advanced", 'Advanced - Teachers'!$K$70)</f>
        <v>0</v>
      </c>
      <c r="E55" s="303" t="b">
        <f>IF(INSTRUCTIONS!Q7="Advanced", 'Advanced - Teachers'!$L$70)</f>
        <v>0</v>
      </c>
      <c r="F55" s="481" t="b">
        <f>IF(INSTRUCTIONS!Q7="Advanced", 'Advanced - Teachers'!$M$70)</f>
        <v>0</v>
      </c>
      <c r="N55" s="1530"/>
      <c r="O55" s="22" t="str">
        <f>CONCATENATE("Total spending on ",C57," teachers")</f>
        <v>Total spending on 0 teachers</v>
      </c>
      <c r="P55" s="148">
        <f>P54*$E$57</f>
        <v>0</v>
      </c>
      <c r="Q55" s="41">
        <f>Q54*$F$57</f>
        <v>0</v>
      </c>
    </row>
    <row r="56" spans="2:18">
      <c r="B56" s="1535"/>
      <c r="C56" s="302">
        <f>'Advanced - Teachers'!$J$71</f>
        <v>0</v>
      </c>
      <c r="D56" s="471" t="b">
        <f>IF(INSTRUCTIONS!Q7="Advanced", 'Advanced - Teachers'!$K$71)</f>
        <v>0</v>
      </c>
      <c r="E56" s="303" t="b">
        <f>IF(INSTRUCTIONS!Q7="Advanced", 'Advanced - Teachers'!$L$71)</f>
        <v>0</v>
      </c>
      <c r="F56" s="481" t="b">
        <f>IF(INSTRUCTIONS!Q7="Advanced", 'Advanced - Teachers'!$M$71)</f>
        <v>0</v>
      </c>
      <c r="N56" s="1530"/>
      <c r="O56" s="22" t="str">
        <f>CONCATENATE("Total # of ",C58," teachers")</f>
        <v>Total # of 0 teachers</v>
      </c>
      <c r="P56" s="474">
        <f>$D$58*SUM($D$6:$D$36)</f>
        <v>0</v>
      </c>
      <c r="Q56" s="474">
        <f>$D$58*SUM($D$6:$D$36)</f>
        <v>0</v>
      </c>
    </row>
    <row r="57" spans="2:18">
      <c r="B57" s="1535"/>
      <c r="C57" s="301">
        <f>'Advanced - Teachers'!$J$72</f>
        <v>0</v>
      </c>
      <c r="D57" s="471" t="b">
        <f>IF(INSTRUCTIONS!Q7="Advanced", 'Advanced - Teachers'!$K$72)</f>
        <v>0</v>
      </c>
      <c r="E57" s="303" t="b">
        <f>IF(INSTRUCTIONS!Q7="Advanced", 'Advanced - Teachers'!$L$72)</f>
        <v>0</v>
      </c>
      <c r="F57" s="481" t="b">
        <f>IF(INSTRUCTIONS!$Q$7="Advanced", 'Advanced - Teachers'!M72)</f>
        <v>0</v>
      </c>
      <c r="N57" s="1530"/>
      <c r="O57" s="22" t="str">
        <f>CONCATENATE("Total spending on ",C58," teachers")</f>
        <v>Total spending on 0 teachers</v>
      </c>
      <c r="P57" s="148">
        <f>P56*E58</f>
        <v>0</v>
      </c>
      <c r="Q57" s="148">
        <f>Q56*F58</f>
        <v>0</v>
      </c>
    </row>
    <row r="58" spans="2:18">
      <c r="B58" s="1535"/>
      <c r="C58" s="301">
        <f>'Advanced - Teachers'!$J$73</f>
        <v>0</v>
      </c>
      <c r="D58" s="471">
        <f>'Advanced - Teachers'!K73</f>
        <v>0</v>
      </c>
      <c r="E58" s="303">
        <f>'Advanced - Teachers'!L73</f>
        <v>0</v>
      </c>
      <c r="F58" s="481" t="b">
        <f>IF(INSTRUCTIONS!$Q$7="Advanced", 'Advanced - Teachers'!M73)</f>
        <v>0</v>
      </c>
      <c r="N58" s="1530"/>
      <c r="O58" s="22" t="str">
        <f>CONCATENATE("Total # of ",C59," teachers")</f>
        <v>Total # of 0 teachers</v>
      </c>
      <c r="P58" s="474">
        <f>$D$59*SUM($D$6:$D$36)</f>
        <v>0</v>
      </c>
      <c r="Q58" s="474">
        <f>$D$59*SUM($D$6:$D$36)</f>
        <v>0</v>
      </c>
    </row>
    <row r="59" spans="2:18">
      <c r="B59" s="1535"/>
      <c r="C59" s="301">
        <f>'Advanced - Teachers'!$J$74</f>
        <v>0</v>
      </c>
      <c r="D59" s="471">
        <f>'Advanced - Teachers'!K74</f>
        <v>0</v>
      </c>
      <c r="E59" s="303">
        <f>'Advanced - Teachers'!L74</f>
        <v>0</v>
      </c>
      <c r="F59" s="481" t="b">
        <f>IF(INSTRUCTIONS!$Q$7="Advanced", 'Advanced - Teachers'!M74)</f>
        <v>0</v>
      </c>
      <c r="N59" s="1530"/>
      <c r="O59" s="22" t="str">
        <f>CONCATENATE("Total spending on ",C59," teachers")</f>
        <v>Total spending on 0 teachers</v>
      </c>
      <c r="P59" s="148">
        <f>P58*E59</f>
        <v>0</v>
      </c>
      <c r="Q59" s="148">
        <f>Q58*F59</f>
        <v>0</v>
      </c>
    </row>
    <row r="60" spans="2:18">
      <c r="B60" s="1535"/>
      <c r="C60" s="301">
        <f>'Advanced - Teachers'!$J$75</f>
        <v>0</v>
      </c>
      <c r="D60" s="471">
        <f>'Advanced - Teachers'!K75</f>
        <v>0</v>
      </c>
      <c r="E60" s="303">
        <f>'Advanced - Teachers'!L75</f>
        <v>0</v>
      </c>
      <c r="F60" s="481" t="b">
        <f>IF(INSTRUCTIONS!$Q$7="Advanced", 'Advanced - Teachers'!M75)</f>
        <v>0</v>
      </c>
      <c r="N60" s="1530"/>
      <c r="O60" s="22" t="str">
        <f>CONCATENATE("Total # of ",C60," teachers")</f>
        <v>Total # of 0 teachers</v>
      </c>
      <c r="P60" s="474">
        <f>$D$60*SUM($D$6:$D$36)</f>
        <v>0</v>
      </c>
      <c r="Q60" s="474">
        <f>$D$60*SUM($D$6:$D$36)</f>
        <v>0</v>
      </c>
    </row>
    <row r="61" spans="2:18">
      <c r="B61" s="1535"/>
      <c r="C61" s="302">
        <f>'Advanced - Teachers'!$J$76</f>
        <v>0</v>
      </c>
      <c r="D61" s="471">
        <f>'Advanced - Teachers'!K76</f>
        <v>0</v>
      </c>
      <c r="E61" s="303">
        <f>'Advanced - Teachers'!L76</f>
        <v>0</v>
      </c>
      <c r="F61" s="481" t="b">
        <f>IF(INSTRUCTIONS!$Q$7="Advanced", 'Advanced - Teachers'!M76)</f>
        <v>0</v>
      </c>
      <c r="N61" s="1530"/>
      <c r="O61" s="22" t="str">
        <f>CONCATENATE("Total spending on ",C60," teachers")</f>
        <v>Total spending on 0 teachers</v>
      </c>
      <c r="P61" s="148">
        <f>P60*E60</f>
        <v>0</v>
      </c>
      <c r="Q61" s="148">
        <f>Q60*F60</f>
        <v>0</v>
      </c>
    </row>
    <row r="62" spans="2:18" ht="15" thickBot="1">
      <c r="B62" s="1536"/>
      <c r="C62" s="305">
        <f>'Advanced - Teachers'!$J$77</f>
        <v>0</v>
      </c>
      <c r="D62" s="472">
        <f>'Advanced - Teachers'!K77</f>
        <v>0</v>
      </c>
      <c r="E62" s="304">
        <f>'Advanced - Teachers'!L77</f>
        <v>0</v>
      </c>
      <c r="F62" s="482" t="b">
        <f>IF(INSTRUCTIONS!$Q$7="Advanced", 'Advanced - Teachers'!M77)</f>
        <v>0</v>
      </c>
      <c r="N62" s="1530"/>
      <c r="O62" s="22" t="str">
        <f>CONCATENATE("Total # of ",C61," teachers")</f>
        <v>Total # of 0 teachers</v>
      </c>
      <c r="P62" s="474">
        <f>$D$61*SUM($D$6:$D$36)</f>
        <v>0</v>
      </c>
      <c r="Q62" s="474">
        <f>$D$61*SUM($D$6:$D$36)</f>
        <v>0</v>
      </c>
    </row>
    <row r="63" spans="2:18" ht="15" thickBot="1">
      <c r="N63" s="1530"/>
      <c r="O63" s="22" t="str">
        <f>CONCATENATE("Total spending on ",C61," teachers")</f>
        <v>Total spending on 0 teachers</v>
      </c>
      <c r="P63" s="148">
        <f>P62*E61</f>
        <v>0</v>
      </c>
      <c r="Q63" s="148">
        <f>Q62*F61</f>
        <v>0</v>
      </c>
    </row>
    <row r="64" spans="2:18" ht="15" thickBot="1">
      <c r="B64" s="10"/>
      <c r="C64" s="89"/>
      <c r="D64" s="222" t="s">
        <v>85</v>
      </c>
      <c r="E64" s="159" t="s">
        <v>86</v>
      </c>
      <c r="N64" s="1530"/>
      <c r="O64" s="22" t="str">
        <f>CONCATENATE("Total # of ",C62," teachers")</f>
        <v>Total # of 0 teachers</v>
      </c>
      <c r="P64" s="474">
        <f>$D$62*SUM($D$6:$D$36)</f>
        <v>0</v>
      </c>
      <c r="Q64" s="474">
        <f>$D$62*SUM($D$6:$D$36)</f>
        <v>0</v>
      </c>
    </row>
    <row r="65" spans="2:17" ht="15" thickBot="1">
      <c r="B65" s="145" t="s">
        <v>101</v>
      </c>
      <c r="C65" s="123" t="s">
        <v>315</v>
      </c>
      <c r="D65" s="168" t="b">
        <f>IF(INSTRUCTIONS!Q7="Advanced", 'Advanced - Teachers'!$K$83)</f>
        <v>0</v>
      </c>
      <c r="E65" s="306" t="b">
        <f>IF(INSTRUCTIONS!Q7="Advanced", 'Advanced - Teachers'!$L$83)</f>
        <v>0</v>
      </c>
      <c r="N65" s="1530"/>
      <c r="O65" s="22" t="str">
        <f>CONCATENATE("Total spending on ",C62," teachers")</f>
        <v>Total spending on 0 teachers</v>
      </c>
      <c r="P65" s="148">
        <f>P64*E62</f>
        <v>0</v>
      </c>
      <c r="Q65" s="148">
        <f>Q64*F62</f>
        <v>0</v>
      </c>
    </row>
    <row r="66" spans="2:17" ht="15" thickBot="1">
      <c r="N66" s="1530"/>
      <c r="O66" s="22" t="s">
        <v>351</v>
      </c>
      <c r="P66" s="150">
        <f>SUMIF(P49, "&gt;0", P48) + SUMIF(P51, "&gt;0", P50) + SUMIF(P53, "&gt;0", P52) + SUMIF(P55, "&gt;0", P54) +SUMIF(P57, "&gt;0", P56)+SUMIF(P59, "&gt;0", P58)+SUMIF(P61, "&gt;0", P60)+SUMIF(P63, "&gt;0", P62)+SUMIF(P65, "&gt;0", P64)</f>
        <v>0</v>
      </c>
      <c r="Q66" s="380">
        <f>SUMIF(Q49, "&gt;0", Q48) + SUMIF(Q51, "&gt;0", Q50) + SUMIF(Q53, "&gt;0", Q52) + SUMIF(Q55, "&gt;0", Q54) +SUMIF(Q57, "&gt;0", Q56)+SUMIF(Q59, "&gt;0", Q58)+SUMIF(Q61, "&gt;0", Q60)+SUMIF(Q63, "&gt;0", Q62)+SUMIF(Q65, "&gt;0", Q64)</f>
        <v>0</v>
      </c>
    </row>
    <row r="67" spans="2:17" ht="15" thickBot="1">
      <c r="B67" s="294"/>
      <c r="C67" s="396"/>
      <c r="D67" s="395" t="s">
        <v>85</v>
      </c>
      <c r="E67" s="394" t="s">
        <v>86</v>
      </c>
      <c r="N67" s="1530"/>
      <c r="O67" s="22" t="s">
        <v>352</v>
      </c>
      <c r="P67" s="381">
        <f>SUMIF(P48, "&gt;0", P49) + SUMIF(P50, "&gt;0", P51) + SUMIF(P52, "&gt;0", P53) + SUMIF(P54, "&gt;0", P55)+P69+SUMIF(P56, "&gt;0", P57)+SUMIF(P58, "&gt;0", P59)+SUMIF(P60, "&gt;0", P61)+SUMIF(P62, "&gt;0", P63)+SUMIF(P64, "&gt;0", P65)</f>
        <v>0</v>
      </c>
      <c r="Q67" s="381">
        <f>SUMIF(Q48, "&gt;0", Q49) + SUMIF(Q50, "&gt;0", Q51) + SUMIF(Q52, "&gt;0", Q53) + SUMIF(Q54, "&gt;0", Q55)+Q69+SUMIF(Q56, "&gt;0", Q57)+SUMIF(Q58, "&gt;0", Q59)+SUMIF(Q60, "&gt;0", Q61)+SUMIF(Q62, "&gt;0", Q63)+SUMIF(Q64, "&gt;0", Q65)</f>
        <v>0</v>
      </c>
    </row>
    <row r="68" spans="2:17">
      <c r="B68" s="1523" t="s">
        <v>319</v>
      </c>
      <c r="C68" s="335" t="s">
        <v>457</v>
      </c>
      <c r="D68" s="400" t="b">
        <f>IF(INSTRUCTIONS!$Q$7="Advanced", 'Advanced - Teachers'!$L$89)</f>
        <v>0</v>
      </c>
      <c r="E68" s="397" t="b">
        <f>IF(INSTRUCTIONS!$Q$7="Advanced", 'Advanced - Teachers'!$N$89)</f>
        <v>0</v>
      </c>
      <c r="N68" s="1530"/>
      <c r="O68" s="22" t="s">
        <v>458</v>
      </c>
      <c r="P68" s="382">
        <f>IF($D$65="No",0,($D$53*$D$39))</f>
        <v>0</v>
      </c>
      <c r="Q68" s="383">
        <f>IF($E$65="No",0,($D$53*$D$39))</f>
        <v>0</v>
      </c>
    </row>
    <row r="69" spans="2:17" ht="15" thickBot="1">
      <c r="B69" s="1524"/>
      <c r="C69" s="350" t="s">
        <v>459</v>
      </c>
      <c r="D69" s="401" t="b">
        <f>IF(INSTRUCTIONS!$Q$7="Advanced", 'Advanced - Teachers'!$K$89)</f>
        <v>0</v>
      </c>
      <c r="E69" s="398" t="b">
        <f>IF(INSTRUCTIONS!$Q$7="Advanced", 'Advanced - Teachers'!$M$89)</f>
        <v>0</v>
      </c>
      <c r="N69" s="1531"/>
      <c r="O69" s="48" t="s">
        <v>460</v>
      </c>
      <c r="P69" s="61">
        <f xml:space="preserve"> -1*P68*$D$42</f>
        <v>0</v>
      </c>
      <c r="Q69" s="384" cm="1">
        <f t="array" ref="Q69">_xlfn.IFS('Advanced - Teachers'!$K$15="Flat Salary Increase ($)", -1*Q68*AVERAGE($F$98:$F$127), 'Advanced - Teachers'!$K$15="Percent of Salary Midpoint Increase (%)", -1*Q68*AVERAGE($F$98:$F$127))</f>
        <v>0</v>
      </c>
    </row>
    <row r="70" spans="2:17" ht="15" thickBot="1">
      <c r="B70" s="1524"/>
      <c r="C70" s="350" t="s">
        <v>461</v>
      </c>
      <c r="D70" s="401" t="b">
        <f>IF(INSTRUCTIONS!$Q$7="Advanced", 'Advanced - Teachers'!$L$90)</f>
        <v>0</v>
      </c>
      <c r="E70" s="398" t="b">
        <f>IF(INSTRUCTIONS!$Q$7="Advanced", 'Advanced - Teachers'!$N$90)</f>
        <v>0</v>
      </c>
    </row>
    <row r="71" spans="2:17" ht="15" thickBot="1">
      <c r="B71" s="1524"/>
      <c r="C71" s="350" t="s">
        <v>462</v>
      </c>
      <c r="D71" s="401" t="b">
        <f>IF(INSTRUCTIONS!$Q$7="Advanced", 'Advanced - Teachers'!$K$90)</f>
        <v>0</v>
      </c>
      <c r="E71" s="398" t="b">
        <f>IF(INSTRUCTIONS!$Q$7="Advanced", 'Advanced - Teachers'!$M$90)</f>
        <v>0</v>
      </c>
      <c r="N71" s="93"/>
      <c r="O71" s="89"/>
      <c r="P71" s="322" t="s">
        <v>85</v>
      </c>
      <c r="Q71" s="322" t="s">
        <v>86</v>
      </c>
    </row>
    <row r="72" spans="2:17">
      <c r="B72" s="1524"/>
      <c r="C72" s="350" t="s">
        <v>463</v>
      </c>
      <c r="D72" s="401" t="b">
        <f>IF(INSTRUCTIONS!$Q$7="Advanced", 'Advanced - Teachers'!$L91)</f>
        <v>0</v>
      </c>
      <c r="E72" s="398" t="b">
        <f>IF(INSTRUCTIONS!$Q$7="Advanced", 'Advanced - Teachers'!$N$91)</f>
        <v>0</v>
      </c>
      <c r="N72" s="1468" t="s">
        <v>103</v>
      </c>
      <c r="O72" s="108" t="s">
        <v>464</v>
      </c>
      <c r="P72" s="353">
        <f>$D$92*P4</f>
        <v>0</v>
      </c>
      <c r="Q72" s="352">
        <f>$D$92*Q4</f>
        <v>0</v>
      </c>
    </row>
    <row r="73" spans="2:17">
      <c r="B73" s="1524"/>
      <c r="C73" s="350" t="s">
        <v>465</v>
      </c>
      <c r="D73" s="401" t="b">
        <f>IF(INSTRUCTIONS!$Q$7="Advanced", 'Advanced - Teachers'!$K$91)</f>
        <v>0</v>
      </c>
      <c r="E73" s="398" t="b">
        <f>IF(INSTRUCTIONS!$Q$7="Advanced", 'Advanced - Teachers'!$M$91)</f>
        <v>0</v>
      </c>
      <c r="N73" s="1469"/>
      <c r="O73" s="4" t="s">
        <v>466</v>
      </c>
      <c r="P73" s="353">
        <f>$D$93*SUM(P31, P45, P67)</f>
        <v>0</v>
      </c>
      <c r="Q73" s="351">
        <f>$D$93*SUM(Q31, Q45, Q67)</f>
        <v>0</v>
      </c>
    </row>
    <row r="74" spans="2:17" ht="15" thickBot="1">
      <c r="B74" s="1524"/>
      <c r="C74" s="350" t="s">
        <v>467</v>
      </c>
      <c r="D74" s="401" t="b">
        <f>IF(INSTRUCTIONS!$Q$7="Advanced", 'Advanced - Teachers'!$L$92)</f>
        <v>0</v>
      </c>
      <c r="E74" s="398" t="b">
        <f>IF(INSTRUCTIONS!$Q$7="Advanced", 'Advanced - Teachers'!$N$92)</f>
        <v>0</v>
      </c>
      <c r="N74" s="1470"/>
      <c r="O74" s="109" t="s">
        <v>355</v>
      </c>
      <c r="P74" s="235">
        <f>SUM(P72:P73)</f>
        <v>0</v>
      </c>
      <c r="Q74" s="240">
        <f>SUM(Q72:Q73)</f>
        <v>0</v>
      </c>
    </row>
    <row r="75" spans="2:17" ht="15" thickBot="1">
      <c r="B75" s="1524"/>
      <c r="C75" s="350" t="s">
        <v>468</v>
      </c>
      <c r="D75" s="401" t="b">
        <f>IF(INSTRUCTIONS!$Q$7="Advanced", 'Advanced - Teachers'!$K$92)</f>
        <v>0</v>
      </c>
      <c r="E75" s="398" t="b">
        <f>IF(INSTRUCTIONS!$Q$7="Advanced", 'Advanced - Teachers'!$M$92)</f>
        <v>0</v>
      </c>
    </row>
    <row r="76" spans="2:17">
      <c r="B76" s="1524"/>
      <c r="C76" s="350" t="s">
        <v>469</v>
      </c>
      <c r="D76" s="401" t="b">
        <f>IF(INSTRUCTIONS!$Q$7="Advanced", 'Advanced - Teachers'!$L$93)</f>
        <v>0</v>
      </c>
      <c r="E76" s="398" t="b">
        <f>IF(INSTRUCTIONS!$Q$7="Advanced", 'Advanced - Teachers'!$N$93)</f>
        <v>0</v>
      </c>
      <c r="N76" s="1526" t="s">
        <v>356</v>
      </c>
      <c r="O76" s="108" t="s">
        <v>470</v>
      </c>
      <c r="P76" s="170">
        <f>SUM(P4, P31, P45, P67, P74, P38)</f>
        <v>0</v>
      </c>
      <c r="Q76" s="263">
        <f>SUM(Q4, Q31, Q45, Q67, Q74, Q38)</f>
        <v>0</v>
      </c>
    </row>
    <row r="77" spans="2:17" ht="15" thickBot="1">
      <c r="B77" s="1525"/>
      <c r="C77" s="336" t="s">
        <v>471</v>
      </c>
      <c r="D77" s="402" t="b">
        <f>IF(INSTRUCTIONS!$Q$7="Advanced", 'Advanced - Teachers'!$K$93)</f>
        <v>0</v>
      </c>
      <c r="E77" s="399" t="b">
        <f>IF(INSTRUCTIONS!$Q$7="Advanced", 'Advanced - Teachers'!$M$93)</f>
        <v>0</v>
      </c>
      <c r="N77" s="1527"/>
      <c r="O77" s="4" t="s">
        <v>472</v>
      </c>
      <c r="P77" s="184">
        <f>P4</f>
        <v>0</v>
      </c>
      <c r="Q77" s="264">
        <f>Q4</f>
        <v>0</v>
      </c>
    </row>
    <row r="78" spans="2:17" ht="15" thickBot="1">
      <c r="B78" s="457"/>
      <c r="C78" s="458"/>
      <c r="D78" s="459"/>
      <c r="E78" s="459"/>
      <c r="N78" s="1527"/>
      <c r="O78" s="4" t="s">
        <v>473</v>
      </c>
      <c r="P78" s="184">
        <f>SUM(P31, P45, P67)</f>
        <v>0</v>
      </c>
      <c r="Q78" s="264">
        <f>SUM(Q31, Q45, Q67)</f>
        <v>0</v>
      </c>
    </row>
    <row r="79" spans="2:17" ht="15" thickBot="1">
      <c r="B79" s="461"/>
      <c r="C79" s="462"/>
      <c r="D79" s="296" t="s">
        <v>323</v>
      </c>
      <c r="E79" s="463" t="s">
        <v>324</v>
      </c>
      <c r="F79" s="125" t="s">
        <v>325</v>
      </c>
      <c r="G79" s="124" t="s">
        <v>326</v>
      </c>
      <c r="N79" s="1527"/>
      <c r="O79" s="4" t="s">
        <v>359</v>
      </c>
      <c r="P79" s="212" t="e">
        <f>(P77+P78)/$D$39</f>
        <v>#DIV/0!</v>
      </c>
      <c r="Q79" s="169" t="e">
        <f>(Q77+Q78)/$D$39</f>
        <v>#DIV/0!</v>
      </c>
    </row>
    <row r="80" spans="2:17" ht="15" thickBot="1">
      <c r="B80" s="1524" t="s">
        <v>319</v>
      </c>
      <c r="C80" s="458">
        <f>'Advanced - Teachers'!J99</f>
        <v>0</v>
      </c>
      <c r="D80" s="464">
        <f>'Advanced - Teachers'!K99</f>
        <v>0</v>
      </c>
      <c r="E80" s="465">
        <f>'Advanced - Teachers'!M99</f>
        <v>0</v>
      </c>
      <c r="F80" s="17">
        <f>'Advanced - Teachers'!L99</f>
        <v>0</v>
      </c>
      <c r="G80" s="448">
        <f>'Advanced - Teachers'!N99</f>
        <v>0</v>
      </c>
      <c r="N80" s="1528"/>
      <c r="O80" s="109" t="s">
        <v>360</v>
      </c>
      <c r="P80" s="171" t="e">
        <f>P77/SUM(D6:D36)</f>
        <v>#DIV/0!</v>
      </c>
      <c r="Q80" s="68" t="e">
        <f>Q77/SUM(D6:D36)</f>
        <v>#DIV/0!</v>
      </c>
    </row>
    <row r="81" spans="2:21" ht="15" thickBot="1">
      <c r="B81" s="1524"/>
      <c r="C81" s="458">
        <f>'Advanced - Teachers'!J100</f>
        <v>0</v>
      </c>
      <c r="D81" s="466">
        <f>'Advanced - Teachers'!K100</f>
        <v>0</v>
      </c>
      <c r="E81" s="467">
        <f>'Advanced - Teachers'!M100</f>
        <v>0</v>
      </c>
      <c r="F81" s="19">
        <f>'Advanced - Teachers'!L100</f>
        <v>0</v>
      </c>
      <c r="G81" s="85">
        <f>'Advanced - Teachers'!N100</f>
        <v>0</v>
      </c>
    </row>
    <row r="82" spans="2:21" ht="15" thickBot="1">
      <c r="B82" s="1524"/>
      <c r="C82" s="458">
        <f>'Advanced - Teachers'!J101</f>
        <v>0</v>
      </c>
      <c r="D82" s="466">
        <f>'Advanced - Teachers'!K101</f>
        <v>0</v>
      </c>
      <c r="E82" s="467">
        <f>'Advanced - Teachers'!M101</f>
        <v>0</v>
      </c>
      <c r="F82" s="19">
        <f>'Advanced - Teachers'!L101</f>
        <v>0</v>
      </c>
      <c r="G82" s="85">
        <f>'Advanced - Teachers'!N101</f>
        <v>0</v>
      </c>
      <c r="N82" s="10"/>
      <c r="O82" s="89"/>
      <c r="P82" s="125" t="s">
        <v>170</v>
      </c>
      <c r="Q82" s="125" t="s">
        <v>171</v>
      </c>
      <c r="R82" s="125" t="s">
        <v>172</v>
      </c>
      <c r="S82" s="125" t="s">
        <v>173</v>
      </c>
      <c r="T82" s="125" t="s">
        <v>174</v>
      </c>
      <c r="U82" s="159" t="s">
        <v>361</v>
      </c>
    </row>
    <row r="83" spans="2:21">
      <c r="B83" s="1524"/>
      <c r="C83" s="458">
        <f>'Advanced - Teachers'!J102</f>
        <v>0</v>
      </c>
      <c r="D83" s="466">
        <f>'Advanced - Teachers'!K102</f>
        <v>0</v>
      </c>
      <c r="E83" s="467">
        <f>'Advanced - Teachers'!M102</f>
        <v>0</v>
      </c>
      <c r="F83" s="19">
        <f>'Advanced - Teachers'!L102</f>
        <v>0</v>
      </c>
      <c r="G83" s="85">
        <f>'Advanced - Teachers'!N102</f>
        <v>0</v>
      </c>
      <c r="N83" s="1498" t="s">
        <v>362</v>
      </c>
      <c r="O83" s="89" t="s">
        <v>363</v>
      </c>
      <c r="P83" s="170">
        <f>F162+$E$168</f>
        <v>0</v>
      </c>
      <c r="Q83" s="170">
        <f t="shared" ref="Q83:S83" si="7">G162+$E$168</f>
        <v>0</v>
      </c>
      <c r="R83" s="170">
        <f t="shared" si="7"/>
        <v>0</v>
      </c>
      <c r="S83" s="170">
        <f t="shared" si="7"/>
        <v>0</v>
      </c>
      <c r="T83" s="170">
        <f>J162+$E$168</f>
        <v>0</v>
      </c>
      <c r="U83" s="263">
        <f>SUM(P83:T83)</f>
        <v>0</v>
      </c>
    </row>
    <row r="84" spans="2:21" ht="15" thickBot="1">
      <c r="B84" s="1525"/>
      <c r="C84" s="460">
        <f>'Advanced - Teachers'!J103</f>
        <v>0</v>
      </c>
      <c r="D84" s="468">
        <f>'Advanced - Teachers'!K103</f>
        <v>0</v>
      </c>
      <c r="E84" s="469">
        <f>'Advanced - Teachers'!M103</f>
        <v>0</v>
      </c>
      <c r="F84" s="18">
        <f>'Advanced - Teachers'!L103</f>
        <v>0</v>
      </c>
      <c r="G84" s="87">
        <f>'Advanced - Teachers'!N103</f>
        <v>0</v>
      </c>
      <c r="N84" s="1499"/>
      <c r="O84" t="s">
        <v>474</v>
      </c>
      <c r="P84" s="184">
        <f>D279</f>
        <v>0</v>
      </c>
      <c r="Q84" s="184">
        <f t="shared" ref="Q84:T84" si="8">E279</f>
        <v>0</v>
      </c>
      <c r="R84" s="184">
        <f t="shared" si="8"/>
        <v>0</v>
      </c>
      <c r="S84" s="184">
        <f t="shared" si="8"/>
        <v>0</v>
      </c>
      <c r="T84" s="184">
        <f t="shared" si="8"/>
        <v>0</v>
      </c>
      <c r="U84" s="264">
        <f>SUM(P84:T84)</f>
        <v>0</v>
      </c>
    </row>
    <row r="85" spans="2:21" ht="15" thickBot="1">
      <c r="C85" s="458"/>
      <c r="N85" s="1499"/>
      <c r="O85" t="s">
        <v>475</v>
      </c>
      <c r="P85" s="184">
        <f>H171</f>
        <v>0</v>
      </c>
      <c r="Q85" s="264">
        <f>H172</f>
        <v>0</v>
      </c>
      <c r="R85" s="264">
        <f>H173</f>
        <v>0</v>
      </c>
      <c r="S85" s="264">
        <f>H174</f>
        <v>0</v>
      </c>
      <c r="T85" s="264">
        <f>H175</f>
        <v>0</v>
      </c>
      <c r="U85" s="264">
        <f>SUM(P85:T85)</f>
        <v>0</v>
      </c>
    </row>
    <row r="86" spans="2:21" ht="15" thickBot="1">
      <c r="B86" s="312"/>
      <c r="C86" s="313"/>
      <c r="D86" s="314" t="s">
        <v>334</v>
      </c>
      <c r="E86" s="297" t="s">
        <v>86</v>
      </c>
      <c r="N86" s="1499"/>
      <c r="O86" t="s">
        <v>365</v>
      </c>
      <c r="P86" s="184">
        <f>$D$94*Q74</f>
        <v>0</v>
      </c>
      <c r="Q86" s="264">
        <f>SUM(Q74, P86)*$D$94</f>
        <v>0</v>
      </c>
      <c r="R86" s="169">
        <f>SUM(Q74, P86:Q86)*$D$94</f>
        <v>0</v>
      </c>
      <c r="S86" s="264">
        <f>SUM(Q74, P86:R86)*$D$94</f>
        <v>0</v>
      </c>
      <c r="T86" s="264">
        <f>SUM(Q74, P86:S86)*$D$94</f>
        <v>0</v>
      </c>
      <c r="U86" s="264">
        <f>SUM(P86:T86)</f>
        <v>0</v>
      </c>
    </row>
    <row r="87" spans="2:21" ht="29.45" thickBot="1">
      <c r="B87" s="1520" t="s">
        <v>336</v>
      </c>
      <c r="C87" s="298" t="s">
        <v>337</v>
      </c>
      <c r="D87" s="308" t="b">
        <f>IF(INSTRUCTIONS!Q7="Advanced", 'Advanced - Teachers'!$K$111)</f>
        <v>0</v>
      </c>
      <c r="E87" s="311" t="b">
        <f>IF(INSTRUCTIONS!Q7="Advanced", 'Advanced - Teachers'!$L$111)</f>
        <v>0</v>
      </c>
      <c r="N87" s="1500"/>
      <c r="O87" s="93" t="s">
        <v>476</v>
      </c>
      <c r="P87" s="65">
        <f>SUM(P83:P86)</f>
        <v>0</v>
      </c>
      <c r="Q87" s="95">
        <f>SUM(Q83:Q86)</f>
        <v>0</v>
      </c>
      <c r="R87" s="95">
        <f>SUM(R83:R86)</f>
        <v>0</v>
      </c>
      <c r="S87" s="95">
        <f t="shared" ref="S87:T87" si="9">SUM(S83:S86)</f>
        <v>0</v>
      </c>
      <c r="T87" s="95">
        <f t="shared" si="9"/>
        <v>0</v>
      </c>
      <c r="U87" s="95">
        <f>SUM(U83:U86)</f>
        <v>0</v>
      </c>
    </row>
    <row r="88" spans="2:21" ht="15" thickBot="1">
      <c r="B88" s="1521"/>
      <c r="C88" s="300" t="s">
        <v>339</v>
      </c>
      <c r="D88" s="315" t="b">
        <f>IF(INSTRUCTIONS!Q7="Advanced", 'Advanced - Teachers'!$K$110)</f>
        <v>0</v>
      </c>
      <c r="E88" s="317" t="b">
        <f>IF(INSTRUCTIONS!Q7="Advanced", 'Advanced - Teachers'!$L$110)</f>
        <v>0</v>
      </c>
    </row>
    <row r="89" spans="2:21" ht="29.45" thickBot="1">
      <c r="B89" s="1521"/>
      <c r="C89" s="300" t="s">
        <v>340</v>
      </c>
      <c r="D89" s="316" t="b">
        <f>IF(INSTRUCTIONS!Q7="Advanced", 'Advanced - Teachers'!$K$115)</f>
        <v>0</v>
      </c>
      <c r="E89" s="303" t="b">
        <f>IF(INSTRUCTIONS!Q7="Advanced", 'Advanced - Teachers'!$L$115)</f>
        <v>0</v>
      </c>
      <c r="N89" s="10"/>
      <c r="O89" s="89"/>
      <c r="P89" s="125" t="s">
        <v>170</v>
      </c>
      <c r="Q89" s="125" t="s">
        <v>171</v>
      </c>
      <c r="R89" s="125" t="s">
        <v>172</v>
      </c>
      <c r="S89" s="125" t="s">
        <v>173</v>
      </c>
      <c r="T89" s="125" t="s">
        <v>174</v>
      </c>
      <c r="U89" s="159" t="s">
        <v>361</v>
      </c>
    </row>
    <row r="90" spans="2:21" ht="15" thickBot="1">
      <c r="B90" s="1522"/>
      <c r="C90" s="307" t="s">
        <v>341</v>
      </c>
      <c r="D90" s="309" t="b">
        <f>IF(INSTRUCTIONS!Q7="Advanced", 'Advanced - Teachers'!$K$114)</f>
        <v>0</v>
      </c>
      <c r="E90" s="310" t="b">
        <f>IF(INSTRUCTIONS!Q7="Advanced", 'Advanced - Teachers'!$L$114)</f>
        <v>0</v>
      </c>
      <c r="N90" s="1498" t="s">
        <v>367</v>
      </c>
      <c r="O90" s="89" t="s">
        <v>363</v>
      </c>
      <c r="P90" s="170">
        <f>F314+$E$320</f>
        <v>0</v>
      </c>
      <c r="Q90" s="170">
        <f t="shared" ref="Q90:T90" si="10">G314+$E$320</f>
        <v>0</v>
      </c>
      <c r="R90" s="170">
        <f t="shared" si="10"/>
        <v>0</v>
      </c>
      <c r="S90" s="170">
        <f t="shared" si="10"/>
        <v>0</v>
      </c>
      <c r="T90" s="170">
        <f t="shared" si="10"/>
        <v>0</v>
      </c>
      <c r="U90" s="263">
        <f>SUM(P90:T90)</f>
        <v>0</v>
      </c>
    </row>
    <row r="91" spans="2:21" ht="15" thickBot="1">
      <c r="N91" s="1499"/>
      <c r="O91" t="s">
        <v>474</v>
      </c>
      <c r="P91" s="184">
        <f>D423</f>
        <v>0</v>
      </c>
      <c r="Q91" s="184">
        <f t="shared" ref="Q91:T91" si="11">E423</f>
        <v>0</v>
      </c>
      <c r="R91" s="184">
        <f t="shared" si="11"/>
        <v>0</v>
      </c>
      <c r="S91" s="184">
        <f t="shared" si="11"/>
        <v>0</v>
      </c>
      <c r="T91" s="184">
        <f t="shared" si="11"/>
        <v>0</v>
      </c>
      <c r="U91" s="264">
        <f>SUM(P91:T91)</f>
        <v>0</v>
      </c>
    </row>
    <row r="92" spans="2:21">
      <c r="B92" s="1516" t="s">
        <v>103</v>
      </c>
      <c r="C92" s="335" t="s">
        <v>477</v>
      </c>
      <c r="D92" s="229" t="b">
        <f>IF(INSTRUCTIONS!Q7="Advanced", 'Advanced - Teachers'!$M$55)</f>
        <v>0</v>
      </c>
      <c r="N92" s="1499"/>
      <c r="O92" t="s">
        <v>475</v>
      </c>
      <c r="P92" s="345"/>
      <c r="Q92" s="1049"/>
      <c r="R92" s="1049"/>
      <c r="S92" s="1049"/>
      <c r="T92" s="1049"/>
      <c r="U92" s="516"/>
    </row>
    <row r="93" spans="2:21" ht="15" thickBot="1">
      <c r="B93" s="1517"/>
      <c r="C93" s="350" t="s">
        <v>478</v>
      </c>
      <c r="D93" s="42">
        <f>'Advanced - Teachers'!$M$56</f>
        <v>0</v>
      </c>
      <c r="N93" s="1499"/>
      <c r="O93" t="s">
        <v>365</v>
      </c>
      <c r="P93" s="184">
        <f>$D$94*P74</f>
        <v>0</v>
      </c>
      <c r="Q93" s="264">
        <f>SUM(P74, P93)*$D$94</f>
        <v>0</v>
      </c>
      <c r="R93" s="264">
        <f>SUM(P74, P93:Q93)*$D$94</f>
        <v>0</v>
      </c>
      <c r="S93" s="264">
        <f>SUM(P74, P93:R93)*$D$94</f>
        <v>0</v>
      </c>
      <c r="T93" s="264">
        <f>SUM(P74, P93:S93)*$D$94</f>
        <v>0</v>
      </c>
      <c r="U93" s="264">
        <f>SUM(P93:T93)</f>
        <v>0</v>
      </c>
    </row>
    <row r="94" spans="2:21" ht="15" thickBot="1">
      <c r="B94" s="1518"/>
      <c r="C94" s="336" t="s">
        <v>479</v>
      </c>
      <c r="D94" s="216">
        <f>'Advanced - Teachers'!$AK$24</f>
        <v>0</v>
      </c>
      <c r="N94" s="1500"/>
      <c r="O94" s="93" t="s">
        <v>476</v>
      </c>
      <c r="P94" s="65">
        <f>SUM(P90:P93)</f>
        <v>0</v>
      </c>
      <c r="Q94" s="95">
        <f>SUM(Q90:Q93)</f>
        <v>0</v>
      </c>
      <c r="R94" s="95">
        <f t="shared" ref="R94:T94" si="12">SUM(R90:R93)</f>
        <v>0</v>
      </c>
      <c r="S94" s="95">
        <f t="shared" si="12"/>
        <v>0</v>
      </c>
      <c r="T94" s="95">
        <f t="shared" si="12"/>
        <v>0</v>
      </c>
      <c r="U94" s="95">
        <f>SUM(U90:U93)</f>
        <v>0</v>
      </c>
    </row>
    <row r="95" spans="2:21" ht="15" thickBot="1"/>
    <row r="96" spans="2:21">
      <c r="B96" s="1451" t="s">
        <v>480</v>
      </c>
      <c r="C96" s="152" t="s">
        <v>169</v>
      </c>
      <c r="D96" s="154" t="s">
        <v>188</v>
      </c>
      <c r="E96" s="156" t="s">
        <v>481</v>
      </c>
      <c r="F96" s="9" t="s">
        <v>439</v>
      </c>
      <c r="G96" s="9" t="s">
        <v>440</v>
      </c>
      <c r="H96" s="9" t="s">
        <v>482</v>
      </c>
    </row>
    <row r="97" spans="2:8">
      <c r="B97" s="1452"/>
      <c r="C97" s="153">
        <v>0</v>
      </c>
      <c r="D97" s="290" t="b">
        <f>IF(INSTRUCTIONS!Q7="Advanced", 'Advanced - Teachers'!$K$21)</f>
        <v>0</v>
      </c>
      <c r="E97" s="85" t="b">
        <f>IF(INSTRUCTIONS!Q7="Advanced", 'Advanced - Teachers'!$L$12)</f>
        <v>0</v>
      </c>
      <c r="F97" s="1"/>
      <c r="G97" s="1"/>
      <c r="H97" s="1"/>
    </row>
    <row r="98" spans="2:8">
      <c r="B98" s="1452"/>
      <c r="C98" s="153">
        <v>1</v>
      </c>
      <c r="D98" s="290" t="b">
        <f>IF(INSTRUCTIONS!Q7="Advanced", 'Advanced - Teachers'!$K$22)</f>
        <v>0</v>
      </c>
      <c r="E98" s="85" cm="1">
        <f t="array" ref="E98">_xlfn.IFS('Advanced - Teachers'!$K$15="Flat Salary Increase ($)",E97+'Advanced - Teachers'!M22,'Advanced - Teachers'!$K$15="Percent of Salary Midpoint Increase (%)",('Advanced Teacher Analysis'!E97/100*'Advanced - Teachers'!M22)+E97)</f>
        <v>0</v>
      </c>
      <c r="F98" s="258">
        <f>E98-E97</f>
        <v>0</v>
      </c>
      <c r="G98" s="258">
        <f>E98-$E$97</f>
        <v>0</v>
      </c>
      <c r="H98" s="258">
        <f>G98*D98</f>
        <v>0</v>
      </c>
    </row>
    <row r="99" spans="2:8">
      <c r="B99" s="1452"/>
      <c r="C99" s="153">
        <v>2</v>
      </c>
      <c r="D99" s="290" t="b">
        <f>IF(INSTRUCTIONS!Q7="Advanced", 'Advanced - Teachers'!$K$23)</f>
        <v>0</v>
      </c>
      <c r="E99" s="85" cm="1">
        <f t="array" ref="E99">_xlfn.IFS('Advanced - Teachers'!$K$15="Flat Salary Increase ($)",E98+'Advanced - Teachers'!M23,'Advanced - Teachers'!$K$15="Percent of Salary Midpoint Increase (%)",('Advanced Teacher Analysis'!E98/100*'Advanced - Teachers'!M23)+E98)</f>
        <v>0</v>
      </c>
      <c r="F99" s="258">
        <f t="shared" ref="F99:F127" si="13">E99-E98</f>
        <v>0</v>
      </c>
      <c r="G99" s="258">
        <f t="shared" ref="G99:G127" si="14">E99-$E$97</f>
        <v>0</v>
      </c>
      <c r="H99" s="258">
        <f t="shared" ref="H99:H127" si="15">G99*D99</f>
        <v>0</v>
      </c>
    </row>
    <row r="100" spans="2:8">
      <c r="B100" s="1452"/>
      <c r="C100" s="153">
        <v>3</v>
      </c>
      <c r="D100" s="290" t="b">
        <f>IF(INSTRUCTIONS!Q7="Advanced", 'Advanced - Teachers'!$K$24)</f>
        <v>0</v>
      </c>
      <c r="E100" s="85" cm="1">
        <f t="array" ref="E100">_xlfn.IFS('Advanced - Teachers'!$K$15="Flat Salary Increase ($)",E99+'Advanced - Teachers'!M24,'Advanced - Teachers'!$K$15="Percent of Salary Midpoint Increase (%)",('Advanced Teacher Analysis'!E99/100*'Advanced - Teachers'!M24)+E99)</f>
        <v>0</v>
      </c>
      <c r="F100" s="258">
        <f t="shared" si="13"/>
        <v>0</v>
      </c>
      <c r="G100" s="258">
        <f t="shared" si="14"/>
        <v>0</v>
      </c>
      <c r="H100" s="258">
        <f t="shared" si="15"/>
        <v>0</v>
      </c>
    </row>
    <row r="101" spans="2:8">
      <c r="B101" s="1452"/>
      <c r="C101" s="153">
        <v>4</v>
      </c>
      <c r="D101" s="290" t="b">
        <f>IF(INSTRUCTIONS!Q7="Advanced", 'Advanced - Teachers'!$K$25)</f>
        <v>0</v>
      </c>
      <c r="E101" s="85" cm="1">
        <f t="array" ref="E101">_xlfn.IFS('Advanced - Teachers'!$K$15="Flat Salary Increase ($)",E100+'Advanced - Teachers'!M25,'Advanced - Teachers'!$K$15="Percent of Salary Midpoint Increase (%)",('Advanced Teacher Analysis'!E100/100*'Advanced - Teachers'!M25)+E100)</f>
        <v>0</v>
      </c>
      <c r="F101" s="258">
        <f t="shared" si="13"/>
        <v>0</v>
      </c>
      <c r="G101" s="258">
        <f t="shared" si="14"/>
        <v>0</v>
      </c>
      <c r="H101" s="258">
        <f t="shared" si="15"/>
        <v>0</v>
      </c>
    </row>
    <row r="102" spans="2:8">
      <c r="B102" s="1452"/>
      <c r="C102" s="153">
        <v>5</v>
      </c>
      <c r="D102" s="290" t="b">
        <f>IF(INSTRUCTIONS!Q7="Advanced", 'Advanced - Teachers'!$K$26)</f>
        <v>0</v>
      </c>
      <c r="E102" s="85" cm="1">
        <f t="array" ref="E102">_xlfn.IFS('Advanced - Teachers'!$K$15="Flat Salary Increase ($)",E101+'Advanced - Teachers'!M26,'Advanced - Teachers'!$K$15="Percent of Salary Midpoint Increase (%)",('Advanced Teacher Analysis'!E101/100*'Advanced - Teachers'!M26)+E101)</f>
        <v>0</v>
      </c>
      <c r="F102" s="258">
        <f t="shared" si="13"/>
        <v>0</v>
      </c>
      <c r="G102" s="258">
        <f t="shared" si="14"/>
        <v>0</v>
      </c>
      <c r="H102" s="258">
        <f t="shared" si="15"/>
        <v>0</v>
      </c>
    </row>
    <row r="103" spans="2:8">
      <c r="B103" s="1452"/>
      <c r="C103" s="153">
        <v>6</v>
      </c>
      <c r="D103" s="290" t="b">
        <f>IF(INSTRUCTIONS!Q7="Advanced", 'Advanced - Teachers'!$K$27)</f>
        <v>0</v>
      </c>
      <c r="E103" s="85" cm="1">
        <f t="array" ref="E103">_xlfn.IFS('Advanced - Teachers'!$K$15="Flat Salary Increase ($)",E102+'Advanced - Teachers'!M27,'Advanced - Teachers'!$K$15="Percent of Salary Midpoint Increase (%)",('Advanced Teacher Analysis'!E102/100*'Advanced - Teachers'!M27)+E102)</f>
        <v>0</v>
      </c>
      <c r="F103" s="258">
        <f t="shared" si="13"/>
        <v>0</v>
      </c>
      <c r="G103" s="258">
        <f t="shared" si="14"/>
        <v>0</v>
      </c>
      <c r="H103" s="258">
        <f t="shared" si="15"/>
        <v>0</v>
      </c>
    </row>
    <row r="104" spans="2:8">
      <c r="B104" s="1452"/>
      <c r="C104" s="153">
        <v>7</v>
      </c>
      <c r="D104" s="290" t="b">
        <f>IF(INSTRUCTIONS!Q7="Advanced", 'Advanced - Teachers'!$K$28)</f>
        <v>0</v>
      </c>
      <c r="E104" s="85" cm="1">
        <f t="array" ref="E104">_xlfn.IFS('Advanced - Teachers'!$K$15="Flat Salary Increase ($)",E103+'Advanced - Teachers'!M28,'Advanced - Teachers'!$K$15="Percent of Salary Midpoint Increase (%)",('Advanced Teacher Analysis'!E103/100*'Advanced - Teachers'!M28)+E103)</f>
        <v>0</v>
      </c>
      <c r="F104" s="258">
        <f t="shared" si="13"/>
        <v>0</v>
      </c>
      <c r="G104" s="258">
        <f t="shared" si="14"/>
        <v>0</v>
      </c>
      <c r="H104" s="258">
        <f t="shared" si="15"/>
        <v>0</v>
      </c>
    </row>
    <row r="105" spans="2:8">
      <c r="B105" s="1452"/>
      <c r="C105" s="153">
        <v>8</v>
      </c>
      <c r="D105" s="290" t="b">
        <f>IF(INSTRUCTIONS!Q7="Advanced", 'Advanced - Teachers'!$K$29)</f>
        <v>0</v>
      </c>
      <c r="E105" s="85" cm="1">
        <f t="array" ref="E105">_xlfn.IFS('Advanced - Teachers'!$K$15="Flat Salary Increase ($)",E104+'Advanced - Teachers'!M29,'Advanced - Teachers'!$K$15="Percent of Salary Midpoint Increase (%)",('Advanced Teacher Analysis'!E104/100*'Advanced - Teachers'!M29)+E104)</f>
        <v>0</v>
      </c>
      <c r="F105" s="258">
        <f t="shared" si="13"/>
        <v>0</v>
      </c>
      <c r="G105" s="258">
        <f t="shared" si="14"/>
        <v>0</v>
      </c>
      <c r="H105" s="258">
        <f t="shared" si="15"/>
        <v>0</v>
      </c>
    </row>
    <row r="106" spans="2:8">
      <c r="B106" s="1452"/>
      <c r="C106" s="153">
        <v>9</v>
      </c>
      <c r="D106" s="290" t="b">
        <f>IF(INSTRUCTIONS!Q7="Advanced", 'Advanced - Teachers'!$K$30)</f>
        <v>0</v>
      </c>
      <c r="E106" s="85" cm="1">
        <f t="array" ref="E106">_xlfn.IFS('Advanced - Teachers'!$K$15="Flat Salary Increase ($)",E105+'Advanced - Teachers'!M30,'Advanced - Teachers'!$K$15="Percent of Salary Midpoint Increase (%)",('Advanced Teacher Analysis'!E105/100*'Advanced - Teachers'!M30)+E105)</f>
        <v>0</v>
      </c>
      <c r="F106" s="258">
        <f t="shared" si="13"/>
        <v>0</v>
      </c>
      <c r="G106" s="258">
        <f t="shared" si="14"/>
        <v>0</v>
      </c>
      <c r="H106" s="258">
        <f t="shared" si="15"/>
        <v>0</v>
      </c>
    </row>
    <row r="107" spans="2:8">
      <c r="B107" s="1452"/>
      <c r="C107" s="153">
        <v>10</v>
      </c>
      <c r="D107" s="290" t="b">
        <f>IF(INSTRUCTIONS!Q7="Advanced", 'Advanced - Teachers'!$K$31)</f>
        <v>0</v>
      </c>
      <c r="E107" s="85" cm="1">
        <f t="array" ref="E107">_xlfn.IFS('Advanced - Teachers'!$K$15="Flat Salary Increase ($)",E106+'Advanced - Teachers'!M31,'Advanced - Teachers'!$K$15="Percent of Salary Midpoint Increase (%)",('Advanced Teacher Analysis'!E106/100*'Advanced - Teachers'!M31)+E106)</f>
        <v>0</v>
      </c>
      <c r="F107" s="258">
        <f t="shared" si="13"/>
        <v>0</v>
      </c>
      <c r="G107" s="258">
        <f t="shared" si="14"/>
        <v>0</v>
      </c>
      <c r="H107" s="258">
        <f t="shared" si="15"/>
        <v>0</v>
      </c>
    </row>
    <row r="108" spans="2:8">
      <c r="B108" s="1452"/>
      <c r="C108" s="153">
        <v>11</v>
      </c>
      <c r="D108" s="290" t="b">
        <f>IF(INSTRUCTIONS!Q7="Advanced", 'Advanced - Teachers'!$K$32)</f>
        <v>0</v>
      </c>
      <c r="E108" s="85" cm="1">
        <f t="array" ref="E108">_xlfn.IFS('Advanced - Teachers'!$K$15="Flat Salary Increase ($)",E107+'Advanced - Teachers'!M32,'Advanced - Teachers'!$K$15="Percent of Salary Midpoint Increase (%)",('Advanced Teacher Analysis'!E107/100*'Advanced - Teachers'!M32)+E107)</f>
        <v>0</v>
      </c>
      <c r="F108" s="258">
        <f t="shared" si="13"/>
        <v>0</v>
      </c>
      <c r="G108" s="258">
        <f t="shared" si="14"/>
        <v>0</v>
      </c>
      <c r="H108" s="258">
        <f t="shared" si="15"/>
        <v>0</v>
      </c>
    </row>
    <row r="109" spans="2:8">
      <c r="B109" s="1452"/>
      <c r="C109" s="153">
        <v>12</v>
      </c>
      <c r="D109" s="290" t="b">
        <f>IF(INSTRUCTIONS!Q7="Advanced", 'Advanced - Teachers'!$K$33)</f>
        <v>0</v>
      </c>
      <c r="E109" s="85" cm="1">
        <f t="array" ref="E109">_xlfn.IFS('Advanced - Teachers'!$K$15="Flat Salary Increase ($)",E108+'Advanced - Teachers'!M33,'Advanced - Teachers'!$K$15="Percent of Salary Midpoint Increase (%)",('Advanced Teacher Analysis'!E108/100*'Advanced - Teachers'!M33)+E108)</f>
        <v>0</v>
      </c>
      <c r="F109" s="258">
        <f t="shared" si="13"/>
        <v>0</v>
      </c>
      <c r="G109" s="258">
        <f t="shared" si="14"/>
        <v>0</v>
      </c>
      <c r="H109" s="258">
        <f t="shared" si="15"/>
        <v>0</v>
      </c>
    </row>
    <row r="110" spans="2:8">
      <c r="B110" s="1452"/>
      <c r="C110" s="153">
        <v>13</v>
      </c>
      <c r="D110" s="290" t="b">
        <f>IF(INSTRUCTIONS!Q7="Advanced", 'Advanced - Teachers'!$K$34)</f>
        <v>0</v>
      </c>
      <c r="E110" s="85" cm="1">
        <f t="array" ref="E110">_xlfn.IFS('Advanced - Teachers'!$K$15="Flat Salary Increase ($)",E109+'Advanced - Teachers'!M34,'Advanced - Teachers'!$K$15="Percent of Salary Midpoint Increase (%)",('Advanced Teacher Analysis'!E109/100*'Advanced - Teachers'!M34)+E109)</f>
        <v>0</v>
      </c>
      <c r="F110" s="258">
        <f t="shared" si="13"/>
        <v>0</v>
      </c>
      <c r="G110" s="258">
        <f t="shared" si="14"/>
        <v>0</v>
      </c>
      <c r="H110" s="258">
        <f t="shared" si="15"/>
        <v>0</v>
      </c>
    </row>
    <row r="111" spans="2:8" ht="14.45" customHeight="1">
      <c r="B111" s="1452"/>
      <c r="C111" s="153">
        <v>14</v>
      </c>
      <c r="D111" s="290" t="b">
        <f>IF(INSTRUCTIONS!Q7="Advanced", 'Advanced - Teachers'!$K$35)</f>
        <v>0</v>
      </c>
      <c r="E111" s="85" cm="1">
        <f t="array" ref="E111">_xlfn.IFS('Advanced - Teachers'!$K$15="Flat Salary Increase ($)",E110+'Advanced - Teachers'!M35,'Advanced - Teachers'!$K$15="Percent of Salary Midpoint Increase (%)",('Advanced Teacher Analysis'!E110/100*'Advanced - Teachers'!M35)+E110)</f>
        <v>0</v>
      </c>
      <c r="F111" s="258">
        <f t="shared" si="13"/>
        <v>0</v>
      </c>
      <c r="G111" s="258">
        <f t="shared" si="14"/>
        <v>0</v>
      </c>
      <c r="H111" s="258">
        <f t="shared" si="15"/>
        <v>0</v>
      </c>
    </row>
    <row r="112" spans="2:8">
      <c r="B112" s="1452"/>
      <c r="C112" s="153">
        <v>15</v>
      </c>
      <c r="D112" s="290" t="b">
        <f>IF(INSTRUCTIONS!Q7="Advanced", 'Advanced - Teachers'!$K$36)</f>
        <v>0</v>
      </c>
      <c r="E112" s="85" cm="1">
        <f t="array" ref="E112">_xlfn.IFS('Advanced - Teachers'!$K$15="Flat Salary Increase ($)",E111+'Advanced - Teachers'!M36,'Advanced - Teachers'!$K$15="Percent of Salary Midpoint Increase (%)",('Advanced Teacher Analysis'!E111/100*'Advanced - Teachers'!M36)+E111)</f>
        <v>0</v>
      </c>
      <c r="F112" s="258">
        <f t="shared" si="13"/>
        <v>0</v>
      </c>
      <c r="G112" s="258">
        <f t="shared" si="14"/>
        <v>0</v>
      </c>
      <c r="H112" s="258">
        <f t="shared" si="15"/>
        <v>0</v>
      </c>
    </row>
    <row r="113" spans="2:8">
      <c r="B113" s="1452"/>
      <c r="C113" s="153">
        <v>16</v>
      </c>
      <c r="D113" s="290" t="b">
        <f>IF(INSTRUCTIONS!Q7="Advanced", 'Advanced - Teachers'!$K$37)</f>
        <v>0</v>
      </c>
      <c r="E113" s="85" cm="1">
        <f t="array" ref="E113">_xlfn.IFS('Advanced - Teachers'!$K$15="Flat Salary Increase ($)",E112+'Advanced - Teachers'!M37,'Advanced - Teachers'!$K$15="Percent of Salary Midpoint Increase (%)",('Advanced Teacher Analysis'!E112/100*'Advanced - Teachers'!M37)+E112)</f>
        <v>0</v>
      </c>
      <c r="F113" s="258">
        <f t="shared" si="13"/>
        <v>0</v>
      </c>
      <c r="G113" s="258">
        <f t="shared" si="14"/>
        <v>0</v>
      </c>
      <c r="H113" s="258">
        <f t="shared" si="15"/>
        <v>0</v>
      </c>
    </row>
    <row r="114" spans="2:8">
      <c r="B114" s="1452"/>
      <c r="C114" s="153">
        <v>17</v>
      </c>
      <c r="D114" s="290" t="b">
        <f>IF(INSTRUCTIONS!Q7="Advanced", 'Advanced - Teachers'!$K$38)</f>
        <v>0</v>
      </c>
      <c r="E114" s="85" cm="1">
        <f t="array" ref="E114">_xlfn.IFS('Advanced - Teachers'!$K$15="Flat Salary Increase ($)",E113+'Advanced - Teachers'!M38,'Advanced - Teachers'!$K$15="Percent of Salary Midpoint Increase (%)",('Advanced Teacher Analysis'!E113/100*'Advanced - Teachers'!M38)+E113)</f>
        <v>0</v>
      </c>
      <c r="F114" s="258">
        <f t="shared" si="13"/>
        <v>0</v>
      </c>
      <c r="G114" s="258">
        <f t="shared" si="14"/>
        <v>0</v>
      </c>
      <c r="H114" s="258">
        <f t="shared" si="15"/>
        <v>0</v>
      </c>
    </row>
    <row r="115" spans="2:8">
      <c r="B115" s="1452"/>
      <c r="C115" s="153">
        <v>18</v>
      </c>
      <c r="D115" s="290" t="b">
        <f>IF(INSTRUCTIONS!Q7="Advanced", 'Advanced - Teachers'!$K$39)</f>
        <v>0</v>
      </c>
      <c r="E115" s="85" cm="1">
        <f t="array" ref="E115">_xlfn.IFS('Advanced - Teachers'!$K$15="Flat Salary Increase ($)",E114+'Advanced - Teachers'!M39,'Advanced - Teachers'!$K$15="Percent of Salary Midpoint Increase (%)",('Advanced Teacher Analysis'!E114/100*'Advanced - Teachers'!M39)+E114)</f>
        <v>0</v>
      </c>
      <c r="F115" s="258">
        <f t="shared" si="13"/>
        <v>0</v>
      </c>
      <c r="G115" s="258">
        <f t="shared" si="14"/>
        <v>0</v>
      </c>
      <c r="H115" s="258">
        <f t="shared" si="15"/>
        <v>0</v>
      </c>
    </row>
    <row r="116" spans="2:8">
      <c r="B116" s="1452"/>
      <c r="C116" s="153">
        <v>19</v>
      </c>
      <c r="D116" s="290" t="b">
        <f>IF(INSTRUCTIONS!Q7="Advanced", 'Advanced - Teachers'!$K$40)</f>
        <v>0</v>
      </c>
      <c r="E116" s="85" cm="1">
        <f t="array" ref="E116">_xlfn.IFS('Advanced - Teachers'!$K$15="Flat Salary Increase ($)",E115+'Advanced - Teachers'!M40,'Advanced - Teachers'!$K$15="Percent of Salary Midpoint Increase (%)",('Advanced Teacher Analysis'!E115/100*'Advanced - Teachers'!M40)+E115)</f>
        <v>0</v>
      </c>
      <c r="F116" s="258">
        <f t="shared" si="13"/>
        <v>0</v>
      </c>
      <c r="G116" s="258">
        <f t="shared" si="14"/>
        <v>0</v>
      </c>
      <c r="H116" s="258">
        <f t="shared" si="15"/>
        <v>0</v>
      </c>
    </row>
    <row r="117" spans="2:8">
      <c r="B117" s="1452"/>
      <c r="C117" s="153">
        <v>20</v>
      </c>
      <c r="D117" s="290" t="b">
        <f>IF(INSTRUCTIONS!Q7="Advanced", 'Advanced - Teachers'!$K$41)</f>
        <v>0</v>
      </c>
      <c r="E117" s="85" cm="1">
        <f t="array" ref="E117">_xlfn.IFS('Advanced - Teachers'!$K$15="Flat Salary Increase ($)",E116+'Advanced - Teachers'!M41,'Advanced - Teachers'!$K$15="Percent of Salary Midpoint Increase (%)",('Advanced Teacher Analysis'!E116/100*'Advanced - Teachers'!M41)+E116)</f>
        <v>0</v>
      </c>
      <c r="F117" s="258">
        <f t="shared" si="13"/>
        <v>0</v>
      </c>
      <c r="G117" s="258">
        <f t="shared" si="14"/>
        <v>0</v>
      </c>
      <c r="H117" s="258">
        <f t="shared" si="15"/>
        <v>0</v>
      </c>
    </row>
    <row r="118" spans="2:8">
      <c r="B118" s="1452"/>
      <c r="C118" s="153">
        <v>21</v>
      </c>
      <c r="D118" s="290" t="b">
        <f>IF(INSTRUCTIONS!Q7="Advanced", 'Advanced - Teachers'!$K$42)</f>
        <v>0</v>
      </c>
      <c r="E118" s="85" cm="1">
        <f t="array" ref="E118">_xlfn.IFS('Advanced - Teachers'!$K$15="Flat Salary Increase ($)",E117+'Advanced - Teachers'!M42,'Advanced - Teachers'!$K$15="Percent of Salary Midpoint Increase (%)",('Advanced Teacher Analysis'!E117/100*'Advanced - Teachers'!M42)+E117)</f>
        <v>0</v>
      </c>
      <c r="F118" s="258">
        <f t="shared" si="13"/>
        <v>0</v>
      </c>
      <c r="G118" s="258">
        <f t="shared" si="14"/>
        <v>0</v>
      </c>
      <c r="H118" s="258">
        <f t="shared" si="15"/>
        <v>0</v>
      </c>
    </row>
    <row r="119" spans="2:8">
      <c r="B119" s="1452"/>
      <c r="C119" s="153">
        <v>22</v>
      </c>
      <c r="D119" s="290" t="b">
        <f>IF(INSTRUCTIONS!Q7="Advanced", 'Advanced - Teachers'!$K$43)</f>
        <v>0</v>
      </c>
      <c r="E119" s="85" cm="1">
        <f t="array" ref="E119">_xlfn.IFS('Advanced - Teachers'!$K$15="Flat Salary Increase ($)",E118+'Advanced - Teachers'!M43,'Advanced - Teachers'!$K$15="Percent of Salary Midpoint Increase (%)",('Advanced Teacher Analysis'!E118/100*'Advanced - Teachers'!M43)+E118)</f>
        <v>0</v>
      </c>
      <c r="F119" s="258">
        <f t="shared" si="13"/>
        <v>0</v>
      </c>
      <c r="G119" s="258">
        <f t="shared" si="14"/>
        <v>0</v>
      </c>
      <c r="H119" s="258">
        <f t="shared" si="15"/>
        <v>0</v>
      </c>
    </row>
    <row r="120" spans="2:8">
      <c r="B120" s="1452"/>
      <c r="C120" s="153">
        <v>23</v>
      </c>
      <c r="D120" s="290" t="b">
        <f>IF(INSTRUCTIONS!Q7="Advanced", 'Advanced - Teachers'!$K$44)</f>
        <v>0</v>
      </c>
      <c r="E120" s="85" cm="1">
        <f t="array" ref="E120">_xlfn.IFS('Advanced - Teachers'!$K$15="Flat Salary Increase ($)",E119+'Advanced - Teachers'!M44,'Advanced - Teachers'!$K$15="Percent of Salary Midpoint Increase (%)",('Advanced Teacher Analysis'!E119/100*'Advanced - Teachers'!M44)+E119)</f>
        <v>0</v>
      </c>
      <c r="F120" s="258">
        <f t="shared" si="13"/>
        <v>0</v>
      </c>
      <c r="G120" s="258">
        <f t="shared" si="14"/>
        <v>0</v>
      </c>
      <c r="H120" s="258">
        <f t="shared" si="15"/>
        <v>0</v>
      </c>
    </row>
    <row r="121" spans="2:8">
      <c r="B121" s="1452"/>
      <c r="C121" s="153">
        <v>24</v>
      </c>
      <c r="D121" s="290" t="b">
        <f>IF(INSTRUCTIONS!Q7="Advanced", 'Advanced - Teachers'!$K$45)</f>
        <v>0</v>
      </c>
      <c r="E121" s="85" cm="1">
        <f t="array" ref="E121">_xlfn.IFS('Advanced - Teachers'!$K$15="Flat Salary Increase ($)",E120+'Advanced - Teachers'!M45,'Advanced - Teachers'!$K$15="Percent of Salary Midpoint Increase (%)",('Advanced Teacher Analysis'!E120/100*'Advanced - Teachers'!M45)+E120)</f>
        <v>0</v>
      </c>
      <c r="F121" s="258">
        <f t="shared" si="13"/>
        <v>0</v>
      </c>
      <c r="G121" s="258">
        <f t="shared" si="14"/>
        <v>0</v>
      </c>
      <c r="H121" s="258">
        <f t="shared" si="15"/>
        <v>0</v>
      </c>
    </row>
    <row r="122" spans="2:8">
      <c r="B122" s="1452"/>
      <c r="C122" s="153">
        <v>25</v>
      </c>
      <c r="D122" s="290" t="b">
        <f>IF(INSTRUCTIONS!Q7="Advanced", 'Advanced - Teachers'!$K$46)</f>
        <v>0</v>
      </c>
      <c r="E122" s="85" cm="1">
        <f t="array" ref="E122">_xlfn.IFS('Advanced - Teachers'!$K$15="Flat Salary Increase ($)",E121+'Advanced - Teachers'!M46,'Advanced - Teachers'!$K$15="Percent of Salary Midpoint Increase (%)",('Advanced Teacher Analysis'!E121/100*'Advanced - Teachers'!M46)+E121)</f>
        <v>0</v>
      </c>
      <c r="F122" s="258">
        <f t="shared" si="13"/>
        <v>0</v>
      </c>
      <c r="G122" s="258">
        <f t="shared" si="14"/>
        <v>0</v>
      </c>
      <c r="H122" s="258">
        <f t="shared" si="15"/>
        <v>0</v>
      </c>
    </row>
    <row r="123" spans="2:8">
      <c r="B123" s="1452"/>
      <c r="C123" s="153">
        <v>26</v>
      </c>
      <c r="D123" s="290" t="b">
        <f>IF(INSTRUCTIONS!Q7="Advanced", 'Advanced - Teachers'!$K$47)</f>
        <v>0</v>
      </c>
      <c r="E123" s="85" cm="1">
        <f t="array" ref="E123">_xlfn.IFS('Advanced - Teachers'!$K$15="Flat Salary Increase ($)",E122+'Advanced - Teachers'!M47,'Advanced - Teachers'!$K$15="Percent of Salary Midpoint Increase (%)",('Advanced Teacher Analysis'!E122/100*'Advanced - Teachers'!M47)+E122)</f>
        <v>0</v>
      </c>
      <c r="F123" s="258">
        <f t="shared" si="13"/>
        <v>0</v>
      </c>
      <c r="G123" s="258">
        <f t="shared" si="14"/>
        <v>0</v>
      </c>
      <c r="H123" s="258">
        <f t="shared" si="15"/>
        <v>0</v>
      </c>
    </row>
    <row r="124" spans="2:8">
      <c r="B124" s="1452"/>
      <c r="C124" s="153">
        <v>27</v>
      </c>
      <c r="D124" s="290" t="b">
        <f>IF(INSTRUCTIONS!Q7="Advanced", 'Advanced - Teachers'!$K$48)</f>
        <v>0</v>
      </c>
      <c r="E124" s="85" cm="1">
        <f t="array" ref="E124">_xlfn.IFS('Advanced - Teachers'!$K$15="Flat Salary Increase ($)",E123+'Advanced - Teachers'!M48,'Advanced - Teachers'!$K$15="Percent of Salary Midpoint Increase (%)",('Advanced Teacher Analysis'!E123/100*'Advanced - Teachers'!M48)+E123)</f>
        <v>0</v>
      </c>
      <c r="F124" s="258">
        <f t="shared" si="13"/>
        <v>0</v>
      </c>
      <c r="G124" s="258">
        <f t="shared" si="14"/>
        <v>0</v>
      </c>
      <c r="H124" s="258">
        <f t="shared" si="15"/>
        <v>0</v>
      </c>
    </row>
    <row r="125" spans="2:8">
      <c r="B125" s="1452"/>
      <c r="C125" s="153">
        <v>28</v>
      </c>
      <c r="D125" s="290" t="b">
        <f>IF(INSTRUCTIONS!Q7="Advanced", 'Advanced - Teachers'!$K$49)</f>
        <v>0</v>
      </c>
      <c r="E125" s="85" cm="1">
        <f t="array" ref="E125">_xlfn.IFS('Advanced - Teachers'!$K$15="Flat Salary Increase ($)",E124+'Advanced - Teachers'!M49,'Advanced - Teachers'!$K$15="Percent of Salary Midpoint Increase (%)",('Advanced Teacher Analysis'!E124/100*'Advanced - Teachers'!M49)+E124)</f>
        <v>0</v>
      </c>
      <c r="F125" s="258">
        <f t="shared" si="13"/>
        <v>0</v>
      </c>
      <c r="G125" s="258">
        <f t="shared" si="14"/>
        <v>0</v>
      </c>
      <c r="H125" s="258">
        <f t="shared" si="15"/>
        <v>0</v>
      </c>
    </row>
    <row r="126" spans="2:8">
      <c r="B126" s="1452"/>
      <c r="C126" s="153">
        <v>29</v>
      </c>
      <c r="D126" s="290" t="b">
        <f>IF(INSTRUCTIONS!Q7="Advanced", 'Advanced - Teachers'!$K$50)</f>
        <v>0</v>
      </c>
      <c r="E126" s="85" cm="1">
        <f t="array" ref="E126">_xlfn.IFS('Advanced - Teachers'!$K$15="Flat Salary Increase ($)",E125+'Advanced - Teachers'!M50,'Advanced - Teachers'!$K$15="Percent of Salary Midpoint Increase (%)",('Advanced Teacher Analysis'!E125/100*'Advanced - Teachers'!M50)+E125)</f>
        <v>0</v>
      </c>
      <c r="F126" s="258">
        <f t="shared" si="13"/>
        <v>0</v>
      </c>
      <c r="G126" s="258">
        <f t="shared" si="14"/>
        <v>0</v>
      </c>
      <c r="H126" s="258">
        <f t="shared" si="15"/>
        <v>0</v>
      </c>
    </row>
    <row r="127" spans="2:8" ht="15" thickBot="1">
      <c r="B127" s="1458"/>
      <c r="C127" s="90">
        <v>30</v>
      </c>
      <c r="D127" s="324" t="b">
        <f>IF(INSTRUCTIONS!Q7="Advanced", 'Advanced - Teachers'!$K$51)</f>
        <v>0</v>
      </c>
      <c r="E127" s="87" cm="1">
        <f t="array" ref="E127">_xlfn.IFS('Advanced - Teachers'!$K$15="Flat Salary Increase ($)",E126+'Advanced - Teachers'!M51,'Advanced - Teachers'!$K$15="Percent of Salary Midpoint Increase (%)",('Advanced Teacher Analysis'!E126/100*'Advanced - Teachers'!M51)+E126)</f>
        <v>0</v>
      </c>
      <c r="F127" s="258">
        <f t="shared" si="13"/>
        <v>0</v>
      </c>
      <c r="G127" s="258">
        <f t="shared" si="14"/>
        <v>0</v>
      </c>
      <c r="H127" s="258">
        <f t="shared" si="15"/>
        <v>0</v>
      </c>
    </row>
    <row r="129" spans="2:10" ht="15" thickBot="1">
      <c r="F129" s="1537" t="s">
        <v>483</v>
      </c>
      <c r="G129" s="1537"/>
      <c r="H129" s="1537"/>
      <c r="I129" s="1537"/>
      <c r="J129" s="1537"/>
    </row>
    <row r="130" spans="2:10" ht="15" thickBot="1">
      <c r="B130" s="1498" t="s">
        <v>484</v>
      </c>
      <c r="C130" s="152" t="s">
        <v>169</v>
      </c>
      <c r="D130" s="152" t="s">
        <v>485</v>
      </c>
      <c r="E130" s="160" t="s">
        <v>486</v>
      </c>
      <c r="F130" s="159" t="s">
        <v>170</v>
      </c>
      <c r="G130" s="1055" t="s">
        <v>171</v>
      </c>
      <c r="H130" s="217" t="s">
        <v>172</v>
      </c>
      <c r="I130" s="217" t="s">
        <v>173</v>
      </c>
      <c r="J130" s="124" t="s">
        <v>174</v>
      </c>
    </row>
    <row r="131" spans="2:10">
      <c r="B131" s="1499"/>
      <c r="C131" s="153">
        <v>0</v>
      </c>
      <c r="D131" s="334">
        <f>'Advanced - Teachers'!T13*'Advanced - Teachers'!$T$10</f>
        <v>0</v>
      </c>
      <c r="E131" s="288">
        <f>'Advanced - Teachers'!W13*'Advanced - Teachers'!$W$10</f>
        <v>0</v>
      </c>
      <c r="F131" s="264">
        <f>(E131*D180)-(D131*D180)</f>
        <v>0</v>
      </c>
      <c r="G131" s="1050">
        <f>(E131*E180)-(D131*E180)</f>
        <v>0</v>
      </c>
      <c r="H131" s="1051">
        <f>(E131*F180)-(D131*F180)</f>
        <v>0</v>
      </c>
      <c r="I131" s="1051">
        <f>(E131*G180)-(D131*G180)</f>
        <v>0</v>
      </c>
      <c r="J131" s="263">
        <f>(E131*H180)-(D131*H180)</f>
        <v>0</v>
      </c>
    </row>
    <row r="132" spans="2:10">
      <c r="B132" s="1499"/>
      <c r="C132" s="153">
        <v>1</v>
      </c>
      <c r="D132" s="334">
        <f>'Advanced - Teachers'!T14*'Advanced - Teachers'!$T$10</f>
        <v>0</v>
      </c>
      <c r="E132" s="288">
        <f>'Advanced - Teachers'!W14*'Advanced - Teachers'!$W$10</f>
        <v>0</v>
      </c>
      <c r="F132" s="264">
        <f t="shared" ref="F132:F161" si="16">(E132*D181)-(D132*D181)</f>
        <v>0</v>
      </c>
      <c r="G132" s="1052">
        <f t="shared" ref="G132:G161" si="17">(E132*E181)-(D132*E181)</f>
        <v>0</v>
      </c>
      <c r="H132" s="258">
        <f t="shared" ref="H132:H161" si="18">(E132*F181)-(D132*F181)</f>
        <v>0</v>
      </c>
      <c r="I132" s="258">
        <f t="shared" ref="I132:I161" si="19">(E132*G181)-(D132*G181)</f>
        <v>0</v>
      </c>
      <c r="J132" s="264">
        <f t="shared" ref="J132:J161" si="20">(E132*H181)-(D132*H181)</f>
        <v>0</v>
      </c>
    </row>
    <row r="133" spans="2:10">
      <c r="B133" s="1499"/>
      <c r="C133" s="153">
        <v>2</v>
      </c>
      <c r="D133" s="334">
        <f>'Advanced - Teachers'!T15*'Advanced - Teachers'!$T$10</f>
        <v>0</v>
      </c>
      <c r="E133" s="288">
        <f>'Advanced - Teachers'!W15*'Advanced - Teachers'!$W$10</f>
        <v>0</v>
      </c>
      <c r="F133" s="264">
        <f t="shared" si="16"/>
        <v>0</v>
      </c>
      <c r="G133" s="1052">
        <f t="shared" si="17"/>
        <v>0</v>
      </c>
      <c r="H133" s="258">
        <f t="shared" si="18"/>
        <v>0</v>
      </c>
      <c r="I133" s="258">
        <f t="shared" si="19"/>
        <v>0</v>
      </c>
      <c r="J133" s="264">
        <f t="shared" si="20"/>
        <v>0</v>
      </c>
    </row>
    <row r="134" spans="2:10">
      <c r="B134" s="1499"/>
      <c r="C134" s="153">
        <v>3</v>
      </c>
      <c r="D134" s="334">
        <f>'Advanced - Teachers'!T16*'Advanced - Teachers'!$T$10</f>
        <v>0</v>
      </c>
      <c r="E134" s="288">
        <f>'Advanced - Teachers'!W16*'Advanced - Teachers'!$W$10</f>
        <v>0</v>
      </c>
      <c r="F134" s="264">
        <f t="shared" si="16"/>
        <v>0</v>
      </c>
      <c r="G134" s="1052">
        <f t="shared" si="17"/>
        <v>0</v>
      </c>
      <c r="H134" s="258">
        <f t="shared" si="18"/>
        <v>0</v>
      </c>
      <c r="I134" s="258">
        <f t="shared" si="19"/>
        <v>0</v>
      </c>
      <c r="J134" s="264">
        <f t="shared" si="20"/>
        <v>0</v>
      </c>
    </row>
    <row r="135" spans="2:10">
      <c r="B135" s="1499"/>
      <c r="C135" s="153">
        <v>4</v>
      </c>
      <c r="D135" s="334">
        <f>'Advanced - Teachers'!T17*'Advanced - Teachers'!$T$10</f>
        <v>0</v>
      </c>
      <c r="E135" s="288">
        <f>'Advanced - Teachers'!W17*'Advanced - Teachers'!$W$10</f>
        <v>0</v>
      </c>
      <c r="F135" s="264">
        <f t="shared" si="16"/>
        <v>0</v>
      </c>
      <c r="G135" s="1052">
        <f t="shared" si="17"/>
        <v>0</v>
      </c>
      <c r="H135" s="258">
        <f t="shared" si="18"/>
        <v>0</v>
      </c>
      <c r="I135" s="258">
        <f t="shared" si="19"/>
        <v>0</v>
      </c>
      <c r="J135" s="264">
        <f t="shared" si="20"/>
        <v>0</v>
      </c>
    </row>
    <row r="136" spans="2:10">
      <c r="B136" s="1499"/>
      <c r="C136" s="153">
        <v>5</v>
      </c>
      <c r="D136" s="334">
        <f>'Advanced - Teachers'!T18*'Advanced - Teachers'!$T$10</f>
        <v>0</v>
      </c>
      <c r="E136" s="288">
        <f>'Advanced - Teachers'!W18*'Advanced - Teachers'!$W$10</f>
        <v>0</v>
      </c>
      <c r="F136" s="264">
        <f t="shared" si="16"/>
        <v>0</v>
      </c>
      <c r="G136" s="1052">
        <f t="shared" si="17"/>
        <v>0</v>
      </c>
      <c r="H136" s="258">
        <f t="shared" si="18"/>
        <v>0</v>
      </c>
      <c r="I136" s="258">
        <f t="shared" si="19"/>
        <v>0</v>
      </c>
      <c r="J136" s="264">
        <f t="shared" si="20"/>
        <v>0</v>
      </c>
    </row>
    <row r="137" spans="2:10">
      <c r="B137" s="1499"/>
      <c r="C137" s="153">
        <v>6</v>
      </c>
      <c r="D137" s="334">
        <f>'Advanced - Teachers'!T19*'Advanced - Teachers'!$T$10</f>
        <v>0</v>
      </c>
      <c r="E137" s="288">
        <f>'Advanced - Teachers'!W19*'Advanced - Teachers'!$W$10</f>
        <v>0</v>
      </c>
      <c r="F137" s="264">
        <f t="shared" si="16"/>
        <v>0</v>
      </c>
      <c r="G137" s="1052">
        <f t="shared" si="17"/>
        <v>0</v>
      </c>
      <c r="H137" s="258">
        <f t="shared" si="18"/>
        <v>0</v>
      </c>
      <c r="I137" s="258">
        <f t="shared" si="19"/>
        <v>0</v>
      </c>
      <c r="J137" s="264">
        <f t="shared" si="20"/>
        <v>0</v>
      </c>
    </row>
    <row r="138" spans="2:10">
      <c r="B138" s="1499"/>
      <c r="C138" s="153">
        <v>7</v>
      </c>
      <c r="D138" s="334">
        <f>'Advanced - Teachers'!T20*'Advanced - Teachers'!$T$10</f>
        <v>0</v>
      </c>
      <c r="E138" s="288">
        <f>'Advanced - Teachers'!W20*'Advanced - Teachers'!$W$10</f>
        <v>0</v>
      </c>
      <c r="F138" s="264">
        <f t="shared" si="16"/>
        <v>0</v>
      </c>
      <c r="G138" s="1052">
        <f t="shared" si="17"/>
        <v>0</v>
      </c>
      <c r="H138" s="258">
        <f t="shared" si="18"/>
        <v>0</v>
      </c>
      <c r="I138" s="258">
        <f t="shared" si="19"/>
        <v>0</v>
      </c>
      <c r="J138" s="264">
        <f t="shared" si="20"/>
        <v>0</v>
      </c>
    </row>
    <row r="139" spans="2:10">
      <c r="B139" s="1499"/>
      <c r="C139" s="153">
        <v>8</v>
      </c>
      <c r="D139" s="334">
        <f>'Advanced - Teachers'!T21*'Advanced - Teachers'!$T$10</f>
        <v>0</v>
      </c>
      <c r="E139" s="288">
        <f>'Advanced - Teachers'!W21*'Advanced - Teachers'!$W$10</f>
        <v>0</v>
      </c>
      <c r="F139" s="264">
        <f t="shared" si="16"/>
        <v>0</v>
      </c>
      <c r="G139" s="1052">
        <f t="shared" si="17"/>
        <v>0</v>
      </c>
      <c r="H139" s="258">
        <f t="shared" si="18"/>
        <v>0</v>
      </c>
      <c r="I139" s="258">
        <f t="shared" si="19"/>
        <v>0</v>
      </c>
      <c r="J139" s="264">
        <f t="shared" si="20"/>
        <v>0</v>
      </c>
    </row>
    <row r="140" spans="2:10">
      <c r="B140" s="1499"/>
      <c r="C140" s="153">
        <v>9</v>
      </c>
      <c r="D140" s="334">
        <f>'Advanced - Teachers'!T22*'Advanced - Teachers'!$T$10</f>
        <v>0</v>
      </c>
      <c r="E140" s="288">
        <f>'Advanced - Teachers'!W22*'Advanced - Teachers'!$W$10</f>
        <v>0</v>
      </c>
      <c r="F140" s="264">
        <f t="shared" si="16"/>
        <v>0</v>
      </c>
      <c r="G140" s="1052">
        <f t="shared" si="17"/>
        <v>0</v>
      </c>
      <c r="H140" s="258">
        <f t="shared" si="18"/>
        <v>0</v>
      </c>
      <c r="I140" s="258">
        <f t="shared" si="19"/>
        <v>0</v>
      </c>
      <c r="J140" s="264">
        <f t="shared" si="20"/>
        <v>0</v>
      </c>
    </row>
    <row r="141" spans="2:10">
      <c r="B141" s="1499"/>
      <c r="C141" s="153">
        <v>10</v>
      </c>
      <c r="D141" s="334">
        <f>'Advanced - Teachers'!T23*'Advanced - Teachers'!$T$10</f>
        <v>0</v>
      </c>
      <c r="E141" s="288">
        <f>'Advanced - Teachers'!W23*'Advanced - Teachers'!$W$10</f>
        <v>0</v>
      </c>
      <c r="F141" s="264">
        <f t="shared" si="16"/>
        <v>0</v>
      </c>
      <c r="G141" s="1052">
        <f t="shared" si="17"/>
        <v>0</v>
      </c>
      <c r="H141" s="258">
        <f t="shared" si="18"/>
        <v>0</v>
      </c>
      <c r="I141" s="258">
        <f t="shared" si="19"/>
        <v>0</v>
      </c>
      <c r="J141" s="264">
        <f t="shared" si="20"/>
        <v>0</v>
      </c>
    </row>
    <row r="142" spans="2:10">
      <c r="B142" s="1499"/>
      <c r="C142" s="153">
        <v>11</v>
      </c>
      <c r="D142" s="334">
        <f>'Advanced - Teachers'!T24*'Advanced - Teachers'!$T$10</f>
        <v>0</v>
      </c>
      <c r="E142" s="288">
        <f>'Advanced - Teachers'!W24*'Advanced - Teachers'!$W$10</f>
        <v>0</v>
      </c>
      <c r="F142" s="264">
        <f t="shared" si="16"/>
        <v>0</v>
      </c>
      <c r="G142" s="1052">
        <f t="shared" si="17"/>
        <v>0</v>
      </c>
      <c r="H142" s="258">
        <f t="shared" si="18"/>
        <v>0</v>
      </c>
      <c r="I142" s="258">
        <f t="shared" si="19"/>
        <v>0</v>
      </c>
      <c r="J142" s="264">
        <f t="shared" si="20"/>
        <v>0</v>
      </c>
    </row>
    <row r="143" spans="2:10">
      <c r="B143" s="1499"/>
      <c r="C143" s="153">
        <v>12</v>
      </c>
      <c r="D143" s="334">
        <f>'Advanced - Teachers'!T25*'Advanced - Teachers'!$T$10</f>
        <v>0</v>
      </c>
      <c r="E143" s="288">
        <f>'Advanced - Teachers'!W25*'Advanced - Teachers'!$W$10</f>
        <v>0</v>
      </c>
      <c r="F143" s="264">
        <f t="shared" si="16"/>
        <v>0</v>
      </c>
      <c r="G143" s="1052">
        <f t="shared" si="17"/>
        <v>0</v>
      </c>
      <c r="H143" s="258">
        <f t="shared" si="18"/>
        <v>0</v>
      </c>
      <c r="I143" s="258">
        <f t="shared" si="19"/>
        <v>0</v>
      </c>
      <c r="J143" s="264">
        <f t="shared" si="20"/>
        <v>0</v>
      </c>
    </row>
    <row r="144" spans="2:10">
      <c r="B144" s="1499"/>
      <c r="C144" s="153">
        <v>13</v>
      </c>
      <c r="D144" s="334">
        <f>'Advanced - Teachers'!T26*'Advanced - Teachers'!$T$10</f>
        <v>0</v>
      </c>
      <c r="E144" s="288">
        <f>'Advanced - Teachers'!W26*'Advanced - Teachers'!$W$10</f>
        <v>0</v>
      </c>
      <c r="F144" s="264">
        <f t="shared" si="16"/>
        <v>0</v>
      </c>
      <c r="G144" s="1052">
        <f t="shared" si="17"/>
        <v>0</v>
      </c>
      <c r="H144" s="258">
        <f t="shared" si="18"/>
        <v>0</v>
      </c>
      <c r="I144" s="258">
        <f t="shared" si="19"/>
        <v>0</v>
      </c>
      <c r="J144" s="264">
        <f t="shared" si="20"/>
        <v>0</v>
      </c>
    </row>
    <row r="145" spans="2:10" ht="23.1" customHeight="1">
      <c r="B145" s="1499"/>
      <c r="C145" s="153">
        <v>14</v>
      </c>
      <c r="D145" s="334">
        <f>'Advanced - Teachers'!T27*'Advanced - Teachers'!$T$10</f>
        <v>0</v>
      </c>
      <c r="E145" s="288">
        <f>'Advanced - Teachers'!W27*'Advanced - Teachers'!$W$10</f>
        <v>0</v>
      </c>
      <c r="F145" s="264">
        <f t="shared" si="16"/>
        <v>0</v>
      </c>
      <c r="G145" s="1052">
        <f t="shared" si="17"/>
        <v>0</v>
      </c>
      <c r="H145" s="258">
        <f t="shared" si="18"/>
        <v>0</v>
      </c>
      <c r="I145" s="258">
        <f t="shared" si="19"/>
        <v>0</v>
      </c>
      <c r="J145" s="264">
        <f t="shared" si="20"/>
        <v>0</v>
      </c>
    </row>
    <row r="146" spans="2:10" ht="14.45" customHeight="1">
      <c r="B146" s="1499"/>
      <c r="C146" s="153">
        <v>15</v>
      </c>
      <c r="D146" s="334">
        <f>'Advanced - Teachers'!T28*'Advanced - Teachers'!$T$10</f>
        <v>0</v>
      </c>
      <c r="E146" s="288">
        <f>'Advanced - Teachers'!W28*'Advanced - Teachers'!$W$10</f>
        <v>0</v>
      </c>
      <c r="F146" s="264">
        <f t="shared" si="16"/>
        <v>0</v>
      </c>
      <c r="G146" s="1052">
        <f t="shared" si="17"/>
        <v>0</v>
      </c>
      <c r="H146" s="258">
        <f t="shared" si="18"/>
        <v>0</v>
      </c>
      <c r="I146" s="258">
        <f t="shared" si="19"/>
        <v>0</v>
      </c>
      <c r="J146" s="264">
        <f t="shared" si="20"/>
        <v>0</v>
      </c>
    </row>
    <row r="147" spans="2:10">
      <c r="B147" s="1499"/>
      <c r="C147" s="153">
        <v>16</v>
      </c>
      <c r="D147" s="334">
        <f>'Advanced - Teachers'!T29*'Advanced - Teachers'!$T$10</f>
        <v>0</v>
      </c>
      <c r="E147" s="288">
        <f>'Advanced - Teachers'!W29*'Advanced - Teachers'!$W$10</f>
        <v>0</v>
      </c>
      <c r="F147" s="264">
        <f t="shared" si="16"/>
        <v>0</v>
      </c>
      <c r="G147" s="1052">
        <f t="shared" si="17"/>
        <v>0</v>
      </c>
      <c r="H147" s="258">
        <f t="shared" si="18"/>
        <v>0</v>
      </c>
      <c r="I147" s="258">
        <f t="shared" si="19"/>
        <v>0</v>
      </c>
      <c r="J147" s="264">
        <f t="shared" si="20"/>
        <v>0</v>
      </c>
    </row>
    <row r="148" spans="2:10">
      <c r="B148" s="1499"/>
      <c r="C148" s="153">
        <v>17</v>
      </c>
      <c r="D148" s="334">
        <f>'Advanced - Teachers'!T30*'Advanced - Teachers'!$T$10</f>
        <v>0</v>
      </c>
      <c r="E148" s="288">
        <f>'Advanced - Teachers'!W30*'Advanced - Teachers'!$W$10</f>
        <v>0</v>
      </c>
      <c r="F148" s="264">
        <f t="shared" si="16"/>
        <v>0</v>
      </c>
      <c r="G148" s="1052">
        <f t="shared" si="17"/>
        <v>0</v>
      </c>
      <c r="H148" s="258">
        <f t="shared" si="18"/>
        <v>0</v>
      </c>
      <c r="I148" s="258">
        <f t="shared" si="19"/>
        <v>0</v>
      </c>
      <c r="J148" s="264">
        <f t="shared" si="20"/>
        <v>0</v>
      </c>
    </row>
    <row r="149" spans="2:10">
      <c r="B149" s="1499"/>
      <c r="C149" s="153">
        <v>18</v>
      </c>
      <c r="D149" s="334">
        <f>'Advanced - Teachers'!T31*'Advanced - Teachers'!$T$10</f>
        <v>0</v>
      </c>
      <c r="E149" s="288">
        <f>'Advanced - Teachers'!W31*'Advanced - Teachers'!$W$10</f>
        <v>0</v>
      </c>
      <c r="F149" s="264">
        <f t="shared" si="16"/>
        <v>0</v>
      </c>
      <c r="G149" s="1052">
        <f t="shared" si="17"/>
        <v>0</v>
      </c>
      <c r="H149" s="258">
        <f t="shared" si="18"/>
        <v>0</v>
      </c>
      <c r="I149" s="258">
        <f t="shared" si="19"/>
        <v>0</v>
      </c>
      <c r="J149" s="264">
        <f t="shared" si="20"/>
        <v>0</v>
      </c>
    </row>
    <row r="150" spans="2:10">
      <c r="B150" s="1499"/>
      <c r="C150" s="153">
        <v>19</v>
      </c>
      <c r="D150" s="334">
        <f>'Advanced - Teachers'!T32*'Advanced - Teachers'!$T$10</f>
        <v>0</v>
      </c>
      <c r="E150" s="288">
        <f>'Advanced - Teachers'!W32*'Advanced - Teachers'!$W$10</f>
        <v>0</v>
      </c>
      <c r="F150" s="264">
        <f t="shared" si="16"/>
        <v>0</v>
      </c>
      <c r="G150" s="1052">
        <f t="shared" si="17"/>
        <v>0</v>
      </c>
      <c r="H150" s="258">
        <f t="shared" si="18"/>
        <v>0</v>
      </c>
      <c r="I150" s="258">
        <f t="shared" si="19"/>
        <v>0</v>
      </c>
      <c r="J150" s="264">
        <f t="shared" si="20"/>
        <v>0</v>
      </c>
    </row>
    <row r="151" spans="2:10">
      <c r="B151" s="1499"/>
      <c r="C151" s="153">
        <v>20</v>
      </c>
      <c r="D151" s="334">
        <f>'Advanced - Teachers'!T33*'Advanced - Teachers'!$T$10</f>
        <v>0</v>
      </c>
      <c r="E151" s="288">
        <f>'Advanced - Teachers'!W33*'Advanced - Teachers'!$W$10</f>
        <v>0</v>
      </c>
      <c r="F151" s="264">
        <f t="shared" si="16"/>
        <v>0</v>
      </c>
      <c r="G151" s="1052">
        <f t="shared" si="17"/>
        <v>0</v>
      </c>
      <c r="H151" s="258">
        <f t="shared" si="18"/>
        <v>0</v>
      </c>
      <c r="I151" s="258">
        <f t="shared" si="19"/>
        <v>0</v>
      </c>
      <c r="J151" s="264">
        <f t="shared" si="20"/>
        <v>0</v>
      </c>
    </row>
    <row r="152" spans="2:10">
      <c r="B152" s="1499"/>
      <c r="C152" s="153">
        <v>21</v>
      </c>
      <c r="D152" s="334">
        <f>'Advanced - Teachers'!T34*'Advanced - Teachers'!$T$10</f>
        <v>0</v>
      </c>
      <c r="E152" s="288">
        <f>'Advanced - Teachers'!W34*'Advanced - Teachers'!$W$10</f>
        <v>0</v>
      </c>
      <c r="F152" s="264">
        <f t="shared" si="16"/>
        <v>0</v>
      </c>
      <c r="G152" s="1052">
        <f t="shared" si="17"/>
        <v>0</v>
      </c>
      <c r="H152" s="258">
        <f t="shared" si="18"/>
        <v>0</v>
      </c>
      <c r="I152" s="258">
        <f t="shared" si="19"/>
        <v>0</v>
      </c>
      <c r="J152" s="264">
        <f t="shared" si="20"/>
        <v>0</v>
      </c>
    </row>
    <row r="153" spans="2:10">
      <c r="B153" s="1499"/>
      <c r="C153" s="153">
        <v>22</v>
      </c>
      <c r="D153" s="334">
        <f>'Advanced - Teachers'!T35*'Advanced - Teachers'!$T$10</f>
        <v>0</v>
      </c>
      <c r="E153" s="288">
        <f>'Advanced - Teachers'!W35*'Advanced - Teachers'!$W$10</f>
        <v>0</v>
      </c>
      <c r="F153" s="264">
        <f t="shared" si="16"/>
        <v>0</v>
      </c>
      <c r="G153" s="1052">
        <f t="shared" si="17"/>
        <v>0</v>
      </c>
      <c r="H153" s="258">
        <f t="shared" si="18"/>
        <v>0</v>
      </c>
      <c r="I153" s="258">
        <f t="shared" si="19"/>
        <v>0</v>
      </c>
      <c r="J153" s="264">
        <f t="shared" si="20"/>
        <v>0</v>
      </c>
    </row>
    <row r="154" spans="2:10">
      <c r="B154" s="1499"/>
      <c r="C154" s="153">
        <v>23</v>
      </c>
      <c r="D154" s="334">
        <f>'Advanced - Teachers'!T36*'Advanced - Teachers'!$T$10</f>
        <v>0</v>
      </c>
      <c r="E154" s="288">
        <f>'Advanced - Teachers'!W36*'Advanced - Teachers'!$W$10</f>
        <v>0</v>
      </c>
      <c r="F154" s="264">
        <f t="shared" si="16"/>
        <v>0</v>
      </c>
      <c r="G154" s="1052">
        <f t="shared" si="17"/>
        <v>0</v>
      </c>
      <c r="H154" s="258">
        <f t="shared" si="18"/>
        <v>0</v>
      </c>
      <c r="I154" s="258">
        <f t="shared" si="19"/>
        <v>0</v>
      </c>
      <c r="J154" s="264">
        <f t="shared" si="20"/>
        <v>0</v>
      </c>
    </row>
    <row r="155" spans="2:10">
      <c r="B155" s="1499"/>
      <c r="C155" s="153">
        <v>24</v>
      </c>
      <c r="D155" s="334">
        <f>'Advanced - Teachers'!T37*'Advanced - Teachers'!$T$10</f>
        <v>0</v>
      </c>
      <c r="E155" s="288">
        <f>'Advanced - Teachers'!W37*'Advanced - Teachers'!$W$10</f>
        <v>0</v>
      </c>
      <c r="F155" s="264">
        <f t="shared" si="16"/>
        <v>0</v>
      </c>
      <c r="G155" s="1052">
        <f t="shared" si="17"/>
        <v>0</v>
      </c>
      <c r="H155" s="258">
        <f t="shared" si="18"/>
        <v>0</v>
      </c>
      <c r="I155" s="258">
        <f t="shared" si="19"/>
        <v>0</v>
      </c>
      <c r="J155" s="264">
        <f t="shared" si="20"/>
        <v>0</v>
      </c>
    </row>
    <row r="156" spans="2:10">
      <c r="B156" s="1499"/>
      <c r="C156" s="153">
        <v>25</v>
      </c>
      <c r="D156" s="334">
        <f>'Advanced - Teachers'!T38*'Advanced - Teachers'!$T$10</f>
        <v>0</v>
      </c>
      <c r="E156" s="288">
        <f>'Advanced - Teachers'!W38*'Advanced - Teachers'!$W$10</f>
        <v>0</v>
      </c>
      <c r="F156" s="264">
        <f t="shared" si="16"/>
        <v>0</v>
      </c>
      <c r="G156" s="1052">
        <f t="shared" si="17"/>
        <v>0</v>
      </c>
      <c r="H156" s="258">
        <f t="shared" si="18"/>
        <v>0</v>
      </c>
      <c r="I156" s="258">
        <f t="shared" si="19"/>
        <v>0</v>
      </c>
      <c r="J156" s="264">
        <f t="shared" si="20"/>
        <v>0</v>
      </c>
    </row>
    <row r="157" spans="2:10">
      <c r="B157" s="1499"/>
      <c r="C157" s="153">
        <v>26</v>
      </c>
      <c r="D157" s="334">
        <f>'Advanced - Teachers'!T39*'Advanced - Teachers'!$T$10</f>
        <v>0</v>
      </c>
      <c r="E157" s="288">
        <f>'Advanced - Teachers'!W39*'Advanced - Teachers'!$W$10</f>
        <v>0</v>
      </c>
      <c r="F157" s="264">
        <f t="shared" si="16"/>
        <v>0</v>
      </c>
      <c r="G157" s="1052">
        <f t="shared" si="17"/>
        <v>0</v>
      </c>
      <c r="H157" s="258">
        <f t="shared" si="18"/>
        <v>0</v>
      </c>
      <c r="I157" s="258">
        <f t="shared" si="19"/>
        <v>0</v>
      </c>
      <c r="J157" s="264">
        <f t="shared" si="20"/>
        <v>0</v>
      </c>
    </row>
    <row r="158" spans="2:10">
      <c r="B158" s="1499"/>
      <c r="C158" s="153">
        <v>27</v>
      </c>
      <c r="D158" s="334">
        <f>'Advanced - Teachers'!T40*'Advanced - Teachers'!$T$10</f>
        <v>0</v>
      </c>
      <c r="E158" s="288">
        <f>'Advanced - Teachers'!W40*'Advanced - Teachers'!$W$10</f>
        <v>0</v>
      </c>
      <c r="F158" s="264">
        <f t="shared" si="16"/>
        <v>0</v>
      </c>
      <c r="G158" s="1052">
        <f t="shared" si="17"/>
        <v>0</v>
      </c>
      <c r="H158" s="258">
        <f t="shared" si="18"/>
        <v>0</v>
      </c>
      <c r="I158" s="258">
        <f t="shared" si="19"/>
        <v>0</v>
      </c>
      <c r="J158" s="264">
        <f t="shared" si="20"/>
        <v>0</v>
      </c>
    </row>
    <row r="159" spans="2:10">
      <c r="B159" s="1499"/>
      <c r="C159" s="153">
        <v>28</v>
      </c>
      <c r="D159" s="334">
        <f>'Advanced - Teachers'!T41*'Advanced - Teachers'!$T$10</f>
        <v>0</v>
      </c>
      <c r="E159" s="288">
        <f>'Advanced - Teachers'!W41*'Advanced - Teachers'!$W$10</f>
        <v>0</v>
      </c>
      <c r="F159" s="264">
        <f t="shared" si="16"/>
        <v>0</v>
      </c>
      <c r="G159" s="1052">
        <f t="shared" si="17"/>
        <v>0</v>
      </c>
      <c r="H159" s="258">
        <f t="shared" si="18"/>
        <v>0</v>
      </c>
      <c r="I159" s="258">
        <f t="shared" si="19"/>
        <v>0</v>
      </c>
      <c r="J159" s="264">
        <f t="shared" si="20"/>
        <v>0</v>
      </c>
    </row>
    <row r="160" spans="2:10">
      <c r="B160" s="1499"/>
      <c r="C160" s="153">
        <v>29</v>
      </c>
      <c r="D160" s="334">
        <f>'Advanced - Teachers'!T42*'Advanced - Teachers'!$T$10</f>
        <v>0</v>
      </c>
      <c r="E160" s="288">
        <f>'Advanced - Teachers'!W42*'Advanced - Teachers'!$W$10</f>
        <v>0</v>
      </c>
      <c r="F160" s="264">
        <f t="shared" si="16"/>
        <v>0</v>
      </c>
      <c r="G160" s="1052">
        <f t="shared" si="17"/>
        <v>0</v>
      </c>
      <c r="H160" s="258">
        <f t="shared" si="18"/>
        <v>0</v>
      </c>
      <c r="I160" s="258">
        <f t="shared" si="19"/>
        <v>0</v>
      </c>
      <c r="J160" s="264">
        <f t="shared" si="20"/>
        <v>0</v>
      </c>
    </row>
    <row r="161" spans="2:10" ht="15" thickBot="1">
      <c r="B161" s="1499"/>
      <c r="C161" s="90">
        <v>30</v>
      </c>
      <c r="D161" s="334">
        <f>'Advanced - Teachers'!T43*'Advanced - Teachers'!$T$10</f>
        <v>0</v>
      </c>
      <c r="E161" s="288">
        <f>'Advanced - Teachers'!W43*'Advanced - Teachers'!$W$10</f>
        <v>0</v>
      </c>
      <c r="F161" s="264">
        <f t="shared" si="16"/>
        <v>0</v>
      </c>
      <c r="G161" s="1053">
        <f t="shared" si="17"/>
        <v>0</v>
      </c>
      <c r="H161" s="1054">
        <f t="shared" si="18"/>
        <v>0</v>
      </c>
      <c r="I161" s="1054">
        <f t="shared" si="19"/>
        <v>0</v>
      </c>
      <c r="J161" s="235">
        <f t="shared" si="20"/>
        <v>0</v>
      </c>
    </row>
    <row r="162" spans="2:10" ht="15" thickBot="1">
      <c r="B162" s="1500"/>
      <c r="C162" s="262" t="s">
        <v>487</v>
      </c>
      <c r="D162" s="338">
        <f t="shared" ref="D162:J162" si="21">SUM(D131:D161)</f>
        <v>0</v>
      </c>
      <c r="E162" s="338">
        <f t="shared" si="21"/>
        <v>0</v>
      </c>
      <c r="F162" s="220">
        <f t="shared" si="21"/>
        <v>0</v>
      </c>
      <c r="G162" s="375">
        <f t="shared" si="21"/>
        <v>0</v>
      </c>
      <c r="H162" s="94">
        <f t="shared" si="21"/>
        <v>0</v>
      </c>
      <c r="I162" s="94">
        <f t="shared" si="21"/>
        <v>0</v>
      </c>
      <c r="J162" s="95">
        <f t="shared" si="21"/>
        <v>0</v>
      </c>
    </row>
    <row r="163" spans="2:10" ht="15" thickBot="1"/>
    <row r="164" spans="2:10" ht="15" thickBot="1">
      <c r="B164" s="1445" t="s">
        <v>488</v>
      </c>
      <c r="C164" s="93"/>
      <c r="D164" s="217" t="s">
        <v>489</v>
      </c>
      <c r="E164" s="124" t="s">
        <v>490</v>
      </c>
    </row>
    <row r="165" spans="2:10">
      <c r="B165" s="1446"/>
      <c r="C165" t="s">
        <v>491</v>
      </c>
      <c r="D165" s="339">
        <f>'Advanced - Teachers'!$AG$12*$D$162*$F$46*-1</f>
        <v>0</v>
      </c>
      <c r="E165" s="340">
        <f>'Advanced - Teachers'!$AH$12*$F$47*$D$162*-1</f>
        <v>0</v>
      </c>
    </row>
    <row r="166" spans="2:10">
      <c r="B166" s="1446"/>
      <c r="C166" t="s">
        <v>492</v>
      </c>
      <c r="D166" s="341">
        <f>'Advanced - Teachers'!$AG$13*$E$162*$F$46</f>
        <v>0</v>
      </c>
      <c r="E166" s="342">
        <f>'Advanced - Teachers'!$AH$13*$E$162*$F$47</f>
        <v>0</v>
      </c>
    </row>
    <row r="167" spans="2:10">
      <c r="B167" s="1446"/>
      <c r="C167" t="s">
        <v>493</v>
      </c>
      <c r="D167" s="112">
        <f>SUM(D165:D166)</f>
        <v>0</v>
      </c>
      <c r="E167" s="333">
        <f>SUM(E165:E166)</f>
        <v>0</v>
      </c>
    </row>
    <row r="168" spans="2:10" ht="15" thickBot="1">
      <c r="B168" s="1447"/>
      <c r="C168" s="1519" t="s">
        <v>494</v>
      </c>
      <c r="D168" s="1519"/>
      <c r="E168" s="343">
        <f>SUM(D167:E167)</f>
        <v>0</v>
      </c>
    </row>
    <row r="169" spans="2:10" ht="15" thickBot="1"/>
    <row r="170" spans="2:10" ht="29.1">
      <c r="B170" s="1498" t="s">
        <v>495</v>
      </c>
      <c r="C170" s="10"/>
      <c r="D170" s="225" t="s">
        <v>496</v>
      </c>
      <c r="E170" s="225" t="s">
        <v>497</v>
      </c>
      <c r="F170" s="225" t="s">
        <v>498</v>
      </c>
      <c r="G170" s="346" t="s">
        <v>499</v>
      </c>
      <c r="H170" s="286" t="s">
        <v>500</v>
      </c>
    </row>
    <row r="171" spans="2:10">
      <c r="B171" s="1499"/>
      <c r="C171" s="100" t="s">
        <v>170</v>
      </c>
      <c r="D171" s="259">
        <f>'Advanced - Teachers'!$AH$19-'Advanced - Teachers'!$AG$19</f>
        <v>0</v>
      </c>
      <c r="E171" s="258">
        <f>D171*$D$46</f>
        <v>0</v>
      </c>
      <c r="F171" s="259">
        <f>'Advanced - Teachers'!$AH$20-'Advanced - Teachers'!$AG$20</f>
        <v>0</v>
      </c>
      <c r="G171" s="264">
        <f>F171*$D$47</f>
        <v>0</v>
      </c>
      <c r="H171" s="112">
        <f>E171+G171</f>
        <v>0</v>
      </c>
    </row>
    <row r="172" spans="2:10">
      <c r="B172" s="1499"/>
      <c r="C172" s="100" t="s">
        <v>171</v>
      </c>
      <c r="D172" s="259">
        <f>'Advanced - Teachers'!$AI$19-'Advanced - Teachers'!$AG$19</f>
        <v>0</v>
      </c>
      <c r="E172" s="258">
        <f t="shared" ref="E172:E175" si="22">D172*$D$46</f>
        <v>0</v>
      </c>
      <c r="F172" s="259">
        <f>'Advanced - Teachers'!$AI$20-'Advanced - Teachers'!$AG$20</f>
        <v>0</v>
      </c>
      <c r="G172" s="264">
        <f t="shared" ref="G172:G175" si="23">F172*$D$47</f>
        <v>0</v>
      </c>
      <c r="H172" s="112">
        <f t="shared" ref="H172:H175" si="24">E172+G172</f>
        <v>0</v>
      </c>
    </row>
    <row r="173" spans="2:10">
      <c r="B173" s="1499"/>
      <c r="C173" s="100" t="s">
        <v>172</v>
      </c>
      <c r="D173" s="259">
        <f>'Advanced - Teachers'!$AJ$19-'Advanced - Teachers'!$AG$19</f>
        <v>0</v>
      </c>
      <c r="E173" s="258">
        <f t="shared" si="22"/>
        <v>0</v>
      </c>
      <c r="F173" s="259">
        <f>'Advanced - Teachers'!$AJ$20-'Advanced - Teachers'!$AG$20</f>
        <v>0</v>
      </c>
      <c r="G173" s="264">
        <f t="shared" si="23"/>
        <v>0</v>
      </c>
      <c r="H173" s="112">
        <f t="shared" si="24"/>
        <v>0</v>
      </c>
    </row>
    <row r="174" spans="2:10">
      <c r="B174" s="1499"/>
      <c r="C174" s="100" t="s">
        <v>173</v>
      </c>
      <c r="D174" s="259">
        <f>'Advanced - Teachers'!$AK$19-'Advanced - Teachers'!AG19</f>
        <v>0</v>
      </c>
      <c r="E174" s="258">
        <f t="shared" si="22"/>
        <v>0</v>
      </c>
      <c r="F174" s="259">
        <f>'Advanced - Teachers'!$AK$20-'Advanced - Teachers'!$AG$20</f>
        <v>0</v>
      </c>
      <c r="G174" s="264">
        <f t="shared" si="23"/>
        <v>0</v>
      </c>
      <c r="H174" s="112">
        <f t="shared" si="24"/>
        <v>0</v>
      </c>
    </row>
    <row r="175" spans="2:10" ht="15" thickBot="1">
      <c r="B175" s="1499"/>
      <c r="C175" s="100" t="s">
        <v>174</v>
      </c>
      <c r="D175" s="259">
        <f>'Advanced - Teachers'!$AL$19-'Advanced - Teachers'!$AG$19</f>
        <v>0</v>
      </c>
      <c r="E175" s="258">
        <f t="shared" si="22"/>
        <v>0</v>
      </c>
      <c r="F175" s="259">
        <f>'Advanced - Teachers'!$AL$20-'Advanced - Teachers'!$AG$20</f>
        <v>0</v>
      </c>
      <c r="G175" s="264">
        <f t="shared" si="23"/>
        <v>0</v>
      </c>
      <c r="H175" s="112">
        <f t="shared" si="24"/>
        <v>0</v>
      </c>
    </row>
    <row r="176" spans="2:10" ht="15" thickBot="1">
      <c r="B176" s="1500"/>
      <c r="C176" s="93" t="s">
        <v>501</v>
      </c>
      <c r="D176" s="123"/>
      <c r="E176" s="123"/>
      <c r="F176" s="123"/>
      <c r="G176" s="344"/>
      <c r="H176" s="112">
        <f>SUM(H171:H175)</f>
        <v>0</v>
      </c>
    </row>
    <row r="177" spans="2:8" ht="15" thickBot="1"/>
    <row r="178" spans="2:8" ht="15" thickBot="1">
      <c r="B178" s="1498" t="s">
        <v>502</v>
      </c>
      <c r="C178" s="93"/>
      <c r="D178" s="1466" t="s">
        <v>503</v>
      </c>
      <c r="E178" s="1466"/>
      <c r="F178" s="1466"/>
      <c r="G178" s="1466"/>
      <c r="H178" s="1467"/>
    </row>
    <row r="179" spans="2:8">
      <c r="B179" s="1499"/>
      <c r="C179" s="160" t="s">
        <v>169</v>
      </c>
      <c r="D179" s="154" t="s">
        <v>170</v>
      </c>
      <c r="E179" s="154" t="s">
        <v>171</v>
      </c>
      <c r="F179" s="154" t="s">
        <v>172</v>
      </c>
      <c r="G179" s="154" t="s">
        <v>173</v>
      </c>
      <c r="H179" s="157" t="s">
        <v>174</v>
      </c>
    </row>
    <row r="180" spans="2:8">
      <c r="B180" s="1499"/>
      <c r="C180" s="9">
        <v>0</v>
      </c>
      <c r="D180" s="259">
        <f>E97+('Advanced - Teachers'!Z12*E97)</f>
        <v>0</v>
      </c>
      <c r="E180" s="259">
        <f>D180+(D180*'Advanced - Teachers'!AA12)</f>
        <v>0</v>
      </c>
      <c r="F180" s="259">
        <f>E180+(E180*'Advanced - Teachers'!AB12)</f>
        <v>0</v>
      </c>
      <c r="G180" s="259">
        <f>F180+(F180*'Advanced - Teachers'!AC12)</f>
        <v>0</v>
      </c>
      <c r="H180" s="169">
        <f>G180+(G180*'Advanced - Teachers'!AD12)</f>
        <v>0</v>
      </c>
    </row>
    <row r="181" spans="2:8">
      <c r="B181" s="1499"/>
      <c r="C181" s="9">
        <v>1</v>
      </c>
      <c r="D181" s="259">
        <f>E98+('Advanced - Teachers'!Z13*E98)</f>
        <v>0</v>
      </c>
      <c r="E181" s="259">
        <f>D181+(D181*'Advanced - Teachers'!AA13)</f>
        <v>0</v>
      </c>
      <c r="F181" s="259">
        <f>E181+(E181*'Advanced - Teachers'!AB13)</f>
        <v>0</v>
      </c>
      <c r="G181" s="259">
        <f>F181+(F181*'Advanced - Teachers'!AC13)</f>
        <v>0</v>
      </c>
      <c r="H181" s="169">
        <f>G181+(G181*'Advanced - Teachers'!AD13)</f>
        <v>0</v>
      </c>
    </row>
    <row r="182" spans="2:8">
      <c r="B182" s="1499"/>
      <c r="C182" s="9">
        <v>2</v>
      </c>
      <c r="D182" s="259">
        <f>E99+('Advanced - Teachers'!Z14*E99)</f>
        <v>0</v>
      </c>
      <c r="E182" s="259">
        <f>D182+(D182*'Advanced - Teachers'!AA14)</f>
        <v>0</v>
      </c>
      <c r="F182" s="259">
        <f>E182+(E182*'Advanced - Teachers'!AB14)</f>
        <v>0</v>
      </c>
      <c r="G182" s="259">
        <f>F182+(F182*'Advanced - Teachers'!AC14)</f>
        <v>0</v>
      </c>
      <c r="H182" s="169">
        <f>G182+(G182*'Advanced - Teachers'!AD14)</f>
        <v>0</v>
      </c>
    </row>
    <row r="183" spans="2:8">
      <c r="B183" s="1499"/>
      <c r="C183" s="9">
        <v>3</v>
      </c>
      <c r="D183" s="259">
        <f>E100+('Advanced - Teachers'!Z15*E100)</f>
        <v>0</v>
      </c>
      <c r="E183" s="259">
        <f>D183+(D183*'Advanced - Teachers'!AA15)</f>
        <v>0</v>
      </c>
      <c r="F183" s="259">
        <f>E183+(E183*'Advanced - Teachers'!AB15)</f>
        <v>0</v>
      </c>
      <c r="G183" s="259">
        <f>F183+(F183*'Advanced - Teachers'!AC15)</f>
        <v>0</v>
      </c>
      <c r="H183" s="169">
        <f>G183+(G183*'Advanced - Teachers'!AD15)</f>
        <v>0</v>
      </c>
    </row>
    <row r="184" spans="2:8">
      <c r="B184" s="1499"/>
      <c r="C184" s="9">
        <v>4</v>
      </c>
      <c r="D184" s="259">
        <f>E101+('Advanced - Teachers'!Z16*E101)</f>
        <v>0</v>
      </c>
      <c r="E184" s="259">
        <f>D184+(D184*'Advanced - Teachers'!AA16)</f>
        <v>0</v>
      </c>
      <c r="F184" s="259">
        <f>E184+(E184*'Advanced - Teachers'!AB16)</f>
        <v>0</v>
      </c>
      <c r="G184" s="259">
        <f>F184+(F184*'Advanced - Teachers'!AC16)</f>
        <v>0</v>
      </c>
      <c r="H184" s="169">
        <f>G184+(G184*'Advanced - Teachers'!AD16)</f>
        <v>0</v>
      </c>
    </row>
    <row r="185" spans="2:8">
      <c r="B185" s="1499"/>
      <c r="C185" s="9">
        <v>5</v>
      </c>
      <c r="D185" s="259">
        <f>E102+('Advanced - Teachers'!Z17*E102)</f>
        <v>0</v>
      </c>
      <c r="E185" s="259">
        <f>D185+(D185*'Advanced - Teachers'!AA17)</f>
        <v>0</v>
      </c>
      <c r="F185" s="259">
        <f>E185+(E185*'Advanced - Teachers'!AB17)</f>
        <v>0</v>
      </c>
      <c r="G185" s="259">
        <f>F185+(F185*'Advanced - Teachers'!AC17)</f>
        <v>0</v>
      </c>
      <c r="H185" s="169">
        <f>G185+(G185*'Advanced - Teachers'!AD17)</f>
        <v>0</v>
      </c>
    </row>
    <row r="186" spans="2:8">
      <c r="B186" s="1499"/>
      <c r="C186" s="9">
        <v>6</v>
      </c>
      <c r="D186" s="259">
        <f>E103+('Advanced - Teachers'!Z18*E103)</f>
        <v>0</v>
      </c>
      <c r="E186" s="259">
        <f>D186+(D186*'Advanced - Teachers'!AA18)</f>
        <v>0</v>
      </c>
      <c r="F186" s="259">
        <f>E186+(E186*'Advanced - Teachers'!AB18)</f>
        <v>0</v>
      </c>
      <c r="G186" s="259">
        <f>F186+(F186*'Advanced - Teachers'!AC18)</f>
        <v>0</v>
      </c>
      <c r="H186" s="169">
        <f>G186+(G186*'Advanced - Teachers'!AD18)</f>
        <v>0</v>
      </c>
    </row>
    <row r="187" spans="2:8">
      <c r="B187" s="1499"/>
      <c r="C187" s="9">
        <v>7</v>
      </c>
      <c r="D187" s="259">
        <f>E104+('Advanced - Teachers'!Z19*E104)</f>
        <v>0</v>
      </c>
      <c r="E187" s="259">
        <f>D187+(D187*'Advanced - Teachers'!AA19)</f>
        <v>0</v>
      </c>
      <c r="F187" s="259">
        <f>E187+(E187*'Advanced - Teachers'!AB19)</f>
        <v>0</v>
      </c>
      <c r="G187" s="259">
        <f>F187+(F187*'Advanced - Teachers'!AC19)</f>
        <v>0</v>
      </c>
      <c r="H187" s="169">
        <f>G187+(G187*'Advanced - Teachers'!AD19)</f>
        <v>0</v>
      </c>
    </row>
    <row r="188" spans="2:8">
      <c r="B188" s="1499"/>
      <c r="C188" s="9">
        <v>8</v>
      </c>
      <c r="D188" s="259">
        <f>E105+('Advanced - Teachers'!Z20*E105)</f>
        <v>0</v>
      </c>
      <c r="E188" s="259">
        <f>D188+(D188*'Advanced - Teachers'!AA20)</f>
        <v>0</v>
      </c>
      <c r="F188" s="259">
        <f>E188+(E188*'Advanced - Teachers'!AB20)</f>
        <v>0</v>
      </c>
      <c r="G188" s="259">
        <f>F188+(F188*'Advanced - Teachers'!AC20)</f>
        <v>0</v>
      </c>
      <c r="H188" s="169">
        <f>G188+(G188*'Advanced - Teachers'!AD20)</f>
        <v>0</v>
      </c>
    </row>
    <row r="189" spans="2:8">
      <c r="B189" s="1499"/>
      <c r="C189" s="9">
        <v>9</v>
      </c>
      <c r="D189" s="259">
        <f>E106+('Advanced - Teachers'!Z21*E106)</f>
        <v>0</v>
      </c>
      <c r="E189" s="259">
        <f>D189+(D189*'Advanced - Teachers'!AA21)</f>
        <v>0</v>
      </c>
      <c r="F189" s="259">
        <f>E189+(E189*'Advanced - Teachers'!AB21)</f>
        <v>0</v>
      </c>
      <c r="G189" s="259">
        <f>F189+(F189*'Advanced - Teachers'!AC21)</f>
        <v>0</v>
      </c>
      <c r="H189" s="169">
        <f>G189+(G189*'Advanced - Teachers'!AD21)</f>
        <v>0</v>
      </c>
    </row>
    <row r="190" spans="2:8">
      <c r="B190" s="1499"/>
      <c r="C190" s="9">
        <v>10</v>
      </c>
      <c r="D190" s="259">
        <f>E107+('Advanced - Teachers'!Z22*E107)</f>
        <v>0</v>
      </c>
      <c r="E190" s="259">
        <f>D190+(D190*'Advanced - Teachers'!AA22)</f>
        <v>0</v>
      </c>
      <c r="F190" s="259">
        <f>E190+(E190*'Advanced - Teachers'!AB22)</f>
        <v>0</v>
      </c>
      <c r="G190" s="259">
        <f>F190+(F190*'Advanced - Teachers'!AC22)</f>
        <v>0</v>
      </c>
      <c r="H190" s="169">
        <f>G190+(G190*'Advanced - Teachers'!AD22)</f>
        <v>0</v>
      </c>
    </row>
    <row r="191" spans="2:8">
      <c r="B191" s="1499"/>
      <c r="C191" s="9">
        <v>11</v>
      </c>
      <c r="D191" s="259">
        <f>E108+('Advanced - Teachers'!Z23*E108)</f>
        <v>0</v>
      </c>
      <c r="E191" s="259">
        <f>D191+(D191*'Advanced - Teachers'!AA23)</f>
        <v>0</v>
      </c>
      <c r="F191" s="259">
        <f>E191+(E191*'Advanced - Teachers'!AB23)</f>
        <v>0</v>
      </c>
      <c r="G191" s="259">
        <f>F191+(F191*'Advanced - Teachers'!AC23)</f>
        <v>0</v>
      </c>
      <c r="H191" s="169">
        <f>G191+(G191*'Advanced - Teachers'!AD23)</f>
        <v>0</v>
      </c>
    </row>
    <row r="192" spans="2:8">
      <c r="B192" s="1499"/>
      <c r="C192" s="9">
        <v>12</v>
      </c>
      <c r="D192" s="259">
        <f>E109+('Advanced - Teachers'!Z24*E109)</f>
        <v>0</v>
      </c>
      <c r="E192" s="259">
        <f>D192+(D192*'Advanced - Teachers'!AA24)</f>
        <v>0</v>
      </c>
      <c r="F192" s="259">
        <f>E192+(E192*'Advanced - Teachers'!AB24)</f>
        <v>0</v>
      </c>
      <c r="G192" s="259">
        <f>F192+(F192*'Advanced - Teachers'!AC24)</f>
        <v>0</v>
      </c>
      <c r="H192" s="169">
        <f>G192+(G192*'Advanced - Teachers'!AD24)</f>
        <v>0</v>
      </c>
    </row>
    <row r="193" spans="2:8">
      <c r="B193" s="1499"/>
      <c r="C193" s="9">
        <v>13</v>
      </c>
      <c r="D193" s="259">
        <f>E110+('Advanced - Teachers'!Z25*E110)</f>
        <v>0</v>
      </c>
      <c r="E193" s="259">
        <f>D193+(D193*'Advanced - Teachers'!AA25)</f>
        <v>0</v>
      </c>
      <c r="F193" s="259">
        <f>E193+(E193*'Advanced - Teachers'!AB25)</f>
        <v>0</v>
      </c>
      <c r="G193" s="259">
        <f>F193+(F193*'Advanced - Teachers'!AC25)</f>
        <v>0</v>
      </c>
      <c r="H193" s="169">
        <f>G193+(G193*'Advanced - Teachers'!AD25)</f>
        <v>0</v>
      </c>
    </row>
    <row r="194" spans="2:8">
      <c r="B194" s="1499"/>
      <c r="C194" s="9">
        <v>14</v>
      </c>
      <c r="D194" s="259">
        <f>E111+('Advanced - Teachers'!Z26*E111)</f>
        <v>0</v>
      </c>
      <c r="E194" s="259">
        <f>D194+(D194*'Advanced - Teachers'!AA26)</f>
        <v>0</v>
      </c>
      <c r="F194" s="259">
        <f>E194+(E194*'Advanced - Teachers'!AB26)</f>
        <v>0</v>
      </c>
      <c r="G194" s="259">
        <f>F194+(F194*'Advanced - Teachers'!AC26)</f>
        <v>0</v>
      </c>
      <c r="H194" s="169">
        <f>G194+(G194*'Advanced - Teachers'!AD26)</f>
        <v>0</v>
      </c>
    </row>
    <row r="195" spans="2:8">
      <c r="B195" s="1499"/>
      <c r="C195" s="9">
        <v>15</v>
      </c>
      <c r="D195" s="259">
        <f>E112+('Advanced - Teachers'!Z27*E112)</f>
        <v>0</v>
      </c>
      <c r="E195" s="259">
        <f>D195+(D195*'Advanced - Teachers'!AA27)</f>
        <v>0</v>
      </c>
      <c r="F195" s="259">
        <f>E195+(E195*'Advanced - Teachers'!AB27)</f>
        <v>0</v>
      </c>
      <c r="G195" s="259">
        <f>F195+(F195*'Advanced - Teachers'!AC27)</f>
        <v>0</v>
      </c>
      <c r="H195" s="169">
        <f>G195+(G195*'Advanced - Teachers'!AD27)</f>
        <v>0</v>
      </c>
    </row>
    <row r="196" spans="2:8">
      <c r="B196" s="1499"/>
      <c r="C196" s="9">
        <v>16</v>
      </c>
      <c r="D196" s="259">
        <f>E113+('Advanced - Teachers'!Z28*E113)</f>
        <v>0</v>
      </c>
      <c r="E196" s="259">
        <f>D196+(D196*'Advanced - Teachers'!AA28)</f>
        <v>0</v>
      </c>
      <c r="F196" s="259">
        <f>E196+(E196*'Advanced - Teachers'!AB28)</f>
        <v>0</v>
      </c>
      <c r="G196" s="259">
        <f>F196+(F196*'Advanced - Teachers'!AC28)</f>
        <v>0</v>
      </c>
      <c r="H196" s="169">
        <f>G196+(G196*'Advanced - Teachers'!AD28)</f>
        <v>0</v>
      </c>
    </row>
    <row r="197" spans="2:8">
      <c r="B197" s="1499"/>
      <c r="C197" s="9">
        <v>17</v>
      </c>
      <c r="D197" s="259">
        <f>E114+('Advanced - Teachers'!Z29*E114)</f>
        <v>0</v>
      </c>
      <c r="E197" s="259">
        <f>D197+(D197*'Advanced - Teachers'!AA29)</f>
        <v>0</v>
      </c>
      <c r="F197" s="259">
        <f>E197+(E197*'Advanced - Teachers'!AB29)</f>
        <v>0</v>
      </c>
      <c r="G197" s="259">
        <f>F197+(F197*'Advanced - Teachers'!AC29)</f>
        <v>0</v>
      </c>
      <c r="H197" s="169">
        <f>G197+(G197*'Advanced - Teachers'!AD29)</f>
        <v>0</v>
      </c>
    </row>
    <row r="198" spans="2:8">
      <c r="B198" s="1499"/>
      <c r="C198" s="9">
        <v>18</v>
      </c>
      <c r="D198" s="259">
        <f>E115+('Advanced - Teachers'!Z30*E115)</f>
        <v>0</v>
      </c>
      <c r="E198" s="259">
        <f>D198+(D198*'Advanced - Teachers'!AA30)</f>
        <v>0</v>
      </c>
      <c r="F198" s="259">
        <f>E198+(E198*'Advanced - Teachers'!AB30)</f>
        <v>0</v>
      </c>
      <c r="G198" s="259">
        <f>F198+(F198*'Advanced - Teachers'!AC30)</f>
        <v>0</v>
      </c>
      <c r="H198" s="169">
        <f>G198+(G198*'Advanced - Teachers'!AD30)</f>
        <v>0</v>
      </c>
    </row>
    <row r="199" spans="2:8">
      <c r="B199" s="1499"/>
      <c r="C199" s="9">
        <v>19</v>
      </c>
      <c r="D199" s="259">
        <f>E116+('Advanced - Teachers'!Z31*E116)</f>
        <v>0</v>
      </c>
      <c r="E199" s="259">
        <f>D199+(D199*'Advanced - Teachers'!AA31)</f>
        <v>0</v>
      </c>
      <c r="F199" s="259">
        <f>E199+(E199*'Advanced - Teachers'!AB31)</f>
        <v>0</v>
      </c>
      <c r="G199" s="259">
        <f>F199+(F199*'Advanced - Teachers'!AC31)</f>
        <v>0</v>
      </c>
      <c r="H199" s="169">
        <f>G199+(G199*'Advanced - Teachers'!AD31)</f>
        <v>0</v>
      </c>
    </row>
    <row r="200" spans="2:8">
      <c r="B200" s="1499"/>
      <c r="C200" s="9">
        <v>20</v>
      </c>
      <c r="D200" s="259">
        <f>E117+('Advanced - Teachers'!Z32*E117)</f>
        <v>0</v>
      </c>
      <c r="E200" s="259">
        <f>D200+(D200*'Advanced - Teachers'!AA32)</f>
        <v>0</v>
      </c>
      <c r="F200" s="259">
        <f>E200+(E200*'Advanced - Teachers'!AB32)</f>
        <v>0</v>
      </c>
      <c r="G200" s="259">
        <f>F200+(F200*'Advanced - Teachers'!AC32)</f>
        <v>0</v>
      </c>
      <c r="H200" s="169">
        <f>G200+(G200*'Advanced - Teachers'!AD32)</f>
        <v>0</v>
      </c>
    </row>
    <row r="201" spans="2:8">
      <c r="B201" s="1499"/>
      <c r="C201" s="9">
        <v>21</v>
      </c>
      <c r="D201" s="259">
        <f>E118+('Advanced - Teachers'!Z33*E118)</f>
        <v>0</v>
      </c>
      <c r="E201" s="259">
        <f>D201+(D201*'Advanced - Teachers'!AA33)</f>
        <v>0</v>
      </c>
      <c r="F201" s="259">
        <f>E201+(E201*'Advanced - Teachers'!AB33)</f>
        <v>0</v>
      </c>
      <c r="G201" s="259">
        <f>F201+(F201*'Advanced - Teachers'!AC33)</f>
        <v>0</v>
      </c>
      <c r="H201" s="169">
        <f>G201+(G201*'Advanced - Teachers'!AD33)</f>
        <v>0</v>
      </c>
    </row>
    <row r="202" spans="2:8">
      <c r="B202" s="1499"/>
      <c r="C202" s="9">
        <v>22</v>
      </c>
      <c r="D202" s="259">
        <f>E119+('Advanced - Teachers'!Z34*E119)</f>
        <v>0</v>
      </c>
      <c r="E202" s="259">
        <f>D202+(D202*'Advanced - Teachers'!AA34)</f>
        <v>0</v>
      </c>
      <c r="F202" s="259">
        <f>E202+(E202*'Advanced - Teachers'!AB34)</f>
        <v>0</v>
      </c>
      <c r="G202" s="259">
        <f>F202+(F202*'Advanced - Teachers'!AC34)</f>
        <v>0</v>
      </c>
      <c r="H202" s="169">
        <f>G202+(G202*'Advanced - Teachers'!AD34)</f>
        <v>0</v>
      </c>
    </row>
    <row r="203" spans="2:8">
      <c r="B203" s="1499"/>
      <c r="C203" s="9">
        <v>23</v>
      </c>
      <c r="D203" s="259">
        <f>E120+('Advanced - Teachers'!Z35*E120)</f>
        <v>0</v>
      </c>
      <c r="E203" s="259">
        <f>D203+(D203*'Advanced - Teachers'!AA35)</f>
        <v>0</v>
      </c>
      <c r="F203" s="259">
        <f>E203+(E203*'Advanced - Teachers'!AB35)</f>
        <v>0</v>
      </c>
      <c r="G203" s="259">
        <f>F203+(F203*'Advanced - Teachers'!AC35)</f>
        <v>0</v>
      </c>
      <c r="H203" s="169">
        <f>G203+(G203*'Advanced - Teachers'!AD35)</f>
        <v>0</v>
      </c>
    </row>
    <row r="204" spans="2:8">
      <c r="B204" s="1499"/>
      <c r="C204" s="9">
        <v>24</v>
      </c>
      <c r="D204" s="259">
        <f>E121+('Advanced - Teachers'!Z36*E121)</f>
        <v>0</v>
      </c>
      <c r="E204" s="259">
        <f>D204+(D204*'Advanced - Teachers'!AA36)</f>
        <v>0</v>
      </c>
      <c r="F204" s="259">
        <f>E204+(E204*'Advanced - Teachers'!AB36)</f>
        <v>0</v>
      </c>
      <c r="G204" s="259">
        <f>F204+(F204*'Advanced - Teachers'!AC36)</f>
        <v>0</v>
      </c>
      <c r="H204" s="169">
        <f>G204+(G204*'Advanced - Teachers'!AD36)</f>
        <v>0</v>
      </c>
    </row>
    <row r="205" spans="2:8">
      <c r="B205" s="1499"/>
      <c r="C205" s="9">
        <v>25</v>
      </c>
      <c r="D205" s="259">
        <f>E122+('Advanced - Teachers'!Z37*E122)</f>
        <v>0</v>
      </c>
      <c r="E205" s="259">
        <f>D205+(D205*'Advanced - Teachers'!AA37)</f>
        <v>0</v>
      </c>
      <c r="F205" s="259">
        <f>E205+(E205*'Advanced - Teachers'!AB37)</f>
        <v>0</v>
      </c>
      <c r="G205" s="259">
        <f>F205+(F205*'Advanced - Teachers'!AC37)</f>
        <v>0</v>
      </c>
      <c r="H205" s="169">
        <f>G205+(G205*'Advanced - Teachers'!AD37)</f>
        <v>0</v>
      </c>
    </row>
    <row r="206" spans="2:8">
      <c r="B206" s="1499"/>
      <c r="C206" s="9">
        <v>26</v>
      </c>
      <c r="D206" s="259">
        <f>E123+('Advanced - Teachers'!Z38*E123)</f>
        <v>0</v>
      </c>
      <c r="E206" s="259">
        <f>D206+(D206*'Advanced - Teachers'!AA38)</f>
        <v>0</v>
      </c>
      <c r="F206" s="259">
        <f>E206+(E206*'Advanced - Teachers'!AB38)</f>
        <v>0</v>
      </c>
      <c r="G206" s="259">
        <f>F206+(F206*'Advanced - Teachers'!AC38)</f>
        <v>0</v>
      </c>
      <c r="H206" s="169">
        <f>G206+(G206*'Advanced - Teachers'!AD38)</f>
        <v>0</v>
      </c>
    </row>
    <row r="207" spans="2:8">
      <c r="B207" s="1499"/>
      <c r="C207" s="9">
        <v>27</v>
      </c>
      <c r="D207" s="259">
        <f>E124+('Advanced - Teachers'!Z39*E124)</f>
        <v>0</v>
      </c>
      <c r="E207" s="259">
        <f>D207+(D207*'Advanced - Teachers'!AA39)</f>
        <v>0</v>
      </c>
      <c r="F207" s="259">
        <f>E207+(E207*'Advanced - Teachers'!AB39)</f>
        <v>0</v>
      </c>
      <c r="G207" s="259">
        <f>F207+(F207*'Advanced - Teachers'!AC39)</f>
        <v>0</v>
      </c>
      <c r="H207" s="169">
        <f>G207+(G207*'Advanced - Teachers'!AD39)</f>
        <v>0</v>
      </c>
    </row>
    <row r="208" spans="2:8">
      <c r="B208" s="1499"/>
      <c r="C208" s="9">
        <v>28</v>
      </c>
      <c r="D208" s="259">
        <f>E125+('Advanced - Teachers'!Z40*E125)</f>
        <v>0</v>
      </c>
      <c r="E208" s="259">
        <f>D208+(D208*'Advanced - Teachers'!AA40)</f>
        <v>0</v>
      </c>
      <c r="F208" s="259">
        <f>E208+(E208*'Advanced - Teachers'!AB40)</f>
        <v>0</v>
      </c>
      <c r="G208" s="259">
        <f>F208+(F208*'Advanced - Teachers'!AC40)</f>
        <v>0</v>
      </c>
      <c r="H208" s="169">
        <f>G208+(G208*'Advanced - Teachers'!AD40)</f>
        <v>0</v>
      </c>
    </row>
    <row r="209" spans="2:8">
      <c r="B209" s="1499"/>
      <c r="C209" s="9">
        <v>29</v>
      </c>
      <c r="D209" s="259">
        <f>E126+('Advanced - Teachers'!Z41*E126)</f>
        <v>0</v>
      </c>
      <c r="E209" s="259">
        <f>D209+(D209*'Advanced - Teachers'!AA41)</f>
        <v>0</v>
      </c>
      <c r="F209" s="259">
        <f>E209+(E209*'Advanced - Teachers'!AB41)</f>
        <v>0</v>
      </c>
      <c r="G209" s="259">
        <f>F209+(F209*'Advanced - Teachers'!AC41)</f>
        <v>0</v>
      </c>
      <c r="H209" s="169">
        <f>G209+(G209*'Advanced - Teachers'!AD41)</f>
        <v>0</v>
      </c>
    </row>
    <row r="210" spans="2:8" ht="15" thickBot="1">
      <c r="B210" s="1500"/>
      <c r="C210" s="337">
        <v>30</v>
      </c>
      <c r="D210" s="347">
        <f>E127+('Advanced - Teachers'!Z42*E127)</f>
        <v>0</v>
      </c>
      <c r="E210" s="347">
        <f>D210+(D210*'Advanced - Teachers'!AA42)</f>
        <v>0</v>
      </c>
      <c r="F210" s="347">
        <f>E210+(E210*'Advanced - Teachers'!AB42)</f>
        <v>0</v>
      </c>
      <c r="G210" s="347">
        <f>F210+(F210*'Advanced - Teachers'!AC42)</f>
        <v>0</v>
      </c>
      <c r="H210" s="68">
        <f>G210+(G210*'Advanced - Teachers'!AD42)</f>
        <v>0</v>
      </c>
    </row>
    <row r="211" spans="2:8" ht="15" thickBot="1"/>
    <row r="212" spans="2:8" ht="15" thickBot="1">
      <c r="B212" s="1498" t="s">
        <v>502</v>
      </c>
      <c r="C212" s="93"/>
      <c r="D212" s="1466" t="s">
        <v>504</v>
      </c>
      <c r="E212" s="1466"/>
      <c r="F212" s="1466"/>
      <c r="G212" s="1466"/>
      <c r="H212" s="1467"/>
    </row>
    <row r="213" spans="2:8">
      <c r="B213" s="1499"/>
      <c r="C213" s="160" t="s">
        <v>169</v>
      </c>
      <c r="D213" s="154" t="s">
        <v>170</v>
      </c>
      <c r="E213" s="154" t="s">
        <v>171</v>
      </c>
      <c r="F213" s="154" t="s">
        <v>172</v>
      </c>
      <c r="G213" s="154" t="s">
        <v>173</v>
      </c>
      <c r="H213" s="157" t="s">
        <v>174</v>
      </c>
    </row>
    <row r="214" spans="2:8">
      <c r="B214" s="1499"/>
      <c r="C214" s="9">
        <v>0</v>
      </c>
      <c r="D214" s="259">
        <f t="shared" ref="D214:D244" si="25">D180-E97</f>
        <v>0</v>
      </c>
      <c r="E214" s="259">
        <f t="shared" ref="E214:E244" si="26">E180-E97</f>
        <v>0</v>
      </c>
      <c r="F214" s="259">
        <f t="shared" ref="F214:F244" si="27">F180-E97</f>
        <v>0</v>
      </c>
      <c r="G214" s="259">
        <f t="shared" ref="G214:G244" si="28">G180-E97</f>
        <v>0</v>
      </c>
      <c r="H214" s="169">
        <f t="shared" ref="H214:H244" si="29">H180-E97</f>
        <v>0</v>
      </c>
    </row>
    <row r="215" spans="2:8">
      <c r="B215" s="1499"/>
      <c r="C215" s="9">
        <v>1</v>
      </c>
      <c r="D215" s="259">
        <f t="shared" si="25"/>
        <v>0</v>
      </c>
      <c r="E215" s="259">
        <f t="shared" si="26"/>
        <v>0</v>
      </c>
      <c r="F215" s="259">
        <f t="shared" si="27"/>
        <v>0</v>
      </c>
      <c r="G215" s="259">
        <f t="shared" si="28"/>
        <v>0</v>
      </c>
      <c r="H215" s="169">
        <f t="shared" si="29"/>
        <v>0</v>
      </c>
    </row>
    <row r="216" spans="2:8">
      <c r="B216" s="1499"/>
      <c r="C216" s="9">
        <v>2</v>
      </c>
      <c r="D216" s="259">
        <f t="shared" si="25"/>
        <v>0</v>
      </c>
      <c r="E216" s="259">
        <f t="shared" si="26"/>
        <v>0</v>
      </c>
      <c r="F216" s="259">
        <f t="shared" si="27"/>
        <v>0</v>
      </c>
      <c r="G216" s="259">
        <f t="shared" si="28"/>
        <v>0</v>
      </c>
      <c r="H216" s="169">
        <f t="shared" si="29"/>
        <v>0</v>
      </c>
    </row>
    <row r="217" spans="2:8">
      <c r="B217" s="1499"/>
      <c r="C217" s="9">
        <v>3</v>
      </c>
      <c r="D217" s="259">
        <f t="shared" si="25"/>
        <v>0</v>
      </c>
      <c r="E217" s="259">
        <f t="shared" si="26"/>
        <v>0</v>
      </c>
      <c r="F217" s="259">
        <f t="shared" si="27"/>
        <v>0</v>
      </c>
      <c r="G217" s="259">
        <f t="shared" si="28"/>
        <v>0</v>
      </c>
      <c r="H217" s="169">
        <f t="shared" si="29"/>
        <v>0</v>
      </c>
    </row>
    <row r="218" spans="2:8">
      <c r="B218" s="1499"/>
      <c r="C218" s="9">
        <v>4</v>
      </c>
      <c r="D218" s="259">
        <f t="shared" si="25"/>
        <v>0</v>
      </c>
      <c r="E218" s="259">
        <f t="shared" si="26"/>
        <v>0</v>
      </c>
      <c r="F218" s="259">
        <f t="shared" si="27"/>
        <v>0</v>
      </c>
      <c r="G218" s="259">
        <f t="shared" si="28"/>
        <v>0</v>
      </c>
      <c r="H218" s="169">
        <f t="shared" si="29"/>
        <v>0</v>
      </c>
    </row>
    <row r="219" spans="2:8">
      <c r="B219" s="1499"/>
      <c r="C219" s="9">
        <v>5</v>
      </c>
      <c r="D219" s="259">
        <f t="shared" si="25"/>
        <v>0</v>
      </c>
      <c r="E219" s="259">
        <f t="shared" si="26"/>
        <v>0</v>
      </c>
      <c r="F219" s="259">
        <f t="shared" si="27"/>
        <v>0</v>
      </c>
      <c r="G219" s="259">
        <f t="shared" si="28"/>
        <v>0</v>
      </c>
      <c r="H219" s="169">
        <f t="shared" si="29"/>
        <v>0</v>
      </c>
    </row>
    <row r="220" spans="2:8">
      <c r="B220" s="1499"/>
      <c r="C220" s="9">
        <v>6</v>
      </c>
      <c r="D220" s="259">
        <f t="shared" si="25"/>
        <v>0</v>
      </c>
      <c r="E220" s="259">
        <f t="shared" si="26"/>
        <v>0</v>
      </c>
      <c r="F220" s="259">
        <f t="shared" si="27"/>
        <v>0</v>
      </c>
      <c r="G220" s="259">
        <f t="shared" si="28"/>
        <v>0</v>
      </c>
      <c r="H220" s="169">
        <f t="shared" si="29"/>
        <v>0</v>
      </c>
    </row>
    <row r="221" spans="2:8">
      <c r="B221" s="1499"/>
      <c r="C221" s="9">
        <v>7</v>
      </c>
      <c r="D221" s="259">
        <f t="shared" si="25"/>
        <v>0</v>
      </c>
      <c r="E221" s="259">
        <f t="shared" si="26"/>
        <v>0</v>
      </c>
      <c r="F221" s="259">
        <f t="shared" si="27"/>
        <v>0</v>
      </c>
      <c r="G221" s="259">
        <f t="shared" si="28"/>
        <v>0</v>
      </c>
      <c r="H221" s="169">
        <f t="shared" si="29"/>
        <v>0</v>
      </c>
    </row>
    <row r="222" spans="2:8">
      <c r="B222" s="1499"/>
      <c r="C222" s="9">
        <v>8</v>
      </c>
      <c r="D222" s="259">
        <f t="shared" si="25"/>
        <v>0</v>
      </c>
      <c r="E222" s="259">
        <f t="shared" si="26"/>
        <v>0</v>
      </c>
      <c r="F222" s="259">
        <f t="shared" si="27"/>
        <v>0</v>
      </c>
      <c r="G222" s="259">
        <f t="shared" si="28"/>
        <v>0</v>
      </c>
      <c r="H222" s="169">
        <f t="shared" si="29"/>
        <v>0</v>
      </c>
    </row>
    <row r="223" spans="2:8">
      <c r="B223" s="1499"/>
      <c r="C223" s="9">
        <v>9</v>
      </c>
      <c r="D223" s="259">
        <f t="shared" si="25"/>
        <v>0</v>
      </c>
      <c r="E223" s="259">
        <f t="shared" si="26"/>
        <v>0</v>
      </c>
      <c r="F223" s="259">
        <f t="shared" si="27"/>
        <v>0</v>
      </c>
      <c r="G223" s="259">
        <f t="shared" si="28"/>
        <v>0</v>
      </c>
      <c r="H223" s="169">
        <f t="shared" si="29"/>
        <v>0</v>
      </c>
    </row>
    <row r="224" spans="2:8">
      <c r="B224" s="1499"/>
      <c r="C224" s="9">
        <v>10</v>
      </c>
      <c r="D224" s="259">
        <f t="shared" si="25"/>
        <v>0</v>
      </c>
      <c r="E224" s="259">
        <f t="shared" si="26"/>
        <v>0</v>
      </c>
      <c r="F224" s="259">
        <f t="shared" si="27"/>
        <v>0</v>
      </c>
      <c r="G224" s="259">
        <f t="shared" si="28"/>
        <v>0</v>
      </c>
      <c r="H224" s="169">
        <f t="shared" si="29"/>
        <v>0</v>
      </c>
    </row>
    <row r="225" spans="2:14">
      <c r="B225" s="1499"/>
      <c r="C225" s="9">
        <v>11</v>
      </c>
      <c r="D225" s="259">
        <f t="shared" si="25"/>
        <v>0</v>
      </c>
      <c r="E225" s="259">
        <f t="shared" si="26"/>
        <v>0</v>
      </c>
      <c r="F225" s="259">
        <f t="shared" si="27"/>
        <v>0</v>
      </c>
      <c r="G225" s="259">
        <f t="shared" si="28"/>
        <v>0</v>
      </c>
      <c r="H225" s="169">
        <f t="shared" si="29"/>
        <v>0</v>
      </c>
    </row>
    <row r="226" spans="2:14">
      <c r="B226" s="1499"/>
      <c r="C226" s="9">
        <v>12</v>
      </c>
      <c r="D226" s="259">
        <f t="shared" si="25"/>
        <v>0</v>
      </c>
      <c r="E226" s="259">
        <f t="shared" si="26"/>
        <v>0</v>
      </c>
      <c r="F226" s="259">
        <f t="shared" si="27"/>
        <v>0</v>
      </c>
      <c r="G226" s="259">
        <f t="shared" si="28"/>
        <v>0</v>
      </c>
      <c r="H226" s="169">
        <f t="shared" si="29"/>
        <v>0</v>
      </c>
    </row>
    <row r="227" spans="2:14" ht="15" customHeight="1">
      <c r="B227" s="1499"/>
      <c r="C227" s="9">
        <v>13</v>
      </c>
      <c r="D227" s="259">
        <f t="shared" si="25"/>
        <v>0</v>
      </c>
      <c r="E227" s="259">
        <f t="shared" si="26"/>
        <v>0</v>
      </c>
      <c r="F227" s="259">
        <f t="shared" si="27"/>
        <v>0</v>
      </c>
      <c r="G227" s="259">
        <f t="shared" si="28"/>
        <v>0</v>
      </c>
      <c r="H227" s="169">
        <f t="shared" si="29"/>
        <v>0</v>
      </c>
      <c r="N227" s="332"/>
    </row>
    <row r="228" spans="2:14">
      <c r="B228" s="1499"/>
      <c r="C228" s="9">
        <v>14</v>
      </c>
      <c r="D228" s="259">
        <f t="shared" si="25"/>
        <v>0</v>
      </c>
      <c r="E228" s="259">
        <f t="shared" si="26"/>
        <v>0</v>
      </c>
      <c r="F228" s="259">
        <f t="shared" si="27"/>
        <v>0</v>
      </c>
      <c r="G228" s="259">
        <f t="shared" si="28"/>
        <v>0</v>
      </c>
      <c r="H228" s="169">
        <f t="shared" si="29"/>
        <v>0</v>
      </c>
    </row>
    <row r="229" spans="2:14">
      <c r="B229" s="1499"/>
      <c r="C229" s="9">
        <v>15</v>
      </c>
      <c r="D229" s="259">
        <f t="shared" si="25"/>
        <v>0</v>
      </c>
      <c r="E229" s="259">
        <f t="shared" si="26"/>
        <v>0</v>
      </c>
      <c r="F229" s="259">
        <f t="shared" si="27"/>
        <v>0</v>
      </c>
      <c r="G229" s="259">
        <f t="shared" si="28"/>
        <v>0</v>
      </c>
      <c r="H229" s="169">
        <f t="shared" si="29"/>
        <v>0</v>
      </c>
    </row>
    <row r="230" spans="2:14">
      <c r="B230" s="1499"/>
      <c r="C230" s="9">
        <v>16</v>
      </c>
      <c r="D230" s="259">
        <f t="shared" si="25"/>
        <v>0</v>
      </c>
      <c r="E230" s="259">
        <f t="shared" si="26"/>
        <v>0</v>
      </c>
      <c r="F230" s="259">
        <f t="shared" si="27"/>
        <v>0</v>
      </c>
      <c r="G230" s="259">
        <f t="shared" si="28"/>
        <v>0</v>
      </c>
      <c r="H230" s="169">
        <f t="shared" si="29"/>
        <v>0</v>
      </c>
    </row>
    <row r="231" spans="2:14">
      <c r="B231" s="1499"/>
      <c r="C231" s="9">
        <v>17</v>
      </c>
      <c r="D231" s="259">
        <f t="shared" si="25"/>
        <v>0</v>
      </c>
      <c r="E231" s="259">
        <f t="shared" si="26"/>
        <v>0</v>
      </c>
      <c r="F231" s="259">
        <f t="shared" si="27"/>
        <v>0</v>
      </c>
      <c r="G231" s="259">
        <f t="shared" si="28"/>
        <v>0</v>
      </c>
      <c r="H231" s="169">
        <f t="shared" si="29"/>
        <v>0</v>
      </c>
    </row>
    <row r="232" spans="2:14">
      <c r="B232" s="1499"/>
      <c r="C232" s="9">
        <v>18</v>
      </c>
      <c r="D232" s="259">
        <f t="shared" si="25"/>
        <v>0</v>
      </c>
      <c r="E232" s="259">
        <f t="shared" si="26"/>
        <v>0</v>
      </c>
      <c r="F232" s="259">
        <f t="shared" si="27"/>
        <v>0</v>
      </c>
      <c r="G232" s="259">
        <f t="shared" si="28"/>
        <v>0</v>
      </c>
      <c r="H232" s="169">
        <f t="shared" si="29"/>
        <v>0</v>
      </c>
    </row>
    <row r="233" spans="2:14">
      <c r="B233" s="1499"/>
      <c r="C233" s="9">
        <v>19</v>
      </c>
      <c r="D233" s="259">
        <f t="shared" si="25"/>
        <v>0</v>
      </c>
      <c r="E233" s="259">
        <f t="shared" si="26"/>
        <v>0</v>
      </c>
      <c r="F233" s="259">
        <f t="shared" si="27"/>
        <v>0</v>
      </c>
      <c r="G233" s="259">
        <f t="shared" si="28"/>
        <v>0</v>
      </c>
      <c r="H233" s="169">
        <f t="shared" si="29"/>
        <v>0</v>
      </c>
    </row>
    <row r="234" spans="2:14">
      <c r="B234" s="1499"/>
      <c r="C234" s="9">
        <v>20</v>
      </c>
      <c r="D234" s="259">
        <f t="shared" si="25"/>
        <v>0</v>
      </c>
      <c r="E234" s="259">
        <f t="shared" si="26"/>
        <v>0</v>
      </c>
      <c r="F234" s="259">
        <f t="shared" si="27"/>
        <v>0</v>
      </c>
      <c r="G234" s="259">
        <f t="shared" si="28"/>
        <v>0</v>
      </c>
      <c r="H234" s="169">
        <f t="shared" si="29"/>
        <v>0</v>
      </c>
    </row>
    <row r="235" spans="2:14">
      <c r="B235" s="1499"/>
      <c r="C235" s="9">
        <v>21</v>
      </c>
      <c r="D235" s="259">
        <f t="shared" si="25"/>
        <v>0</v>
      </c>
      <c r="E235" s="259">
        <f t="shared" si="26"/>
        <v>0</v>
      </c>
      <c r="F235" s="259">
        <f t="shared" si="27"/>
        <v>0</v>
      </c>
      <c r="G235" s="259">
        <f t="shared" si="28"/>
        <v>0</v>
      </c>
      <c r="H235" s="169">
        <f t="shared" si="29"/>
        <v>0</v>
      </c>
    </row>
    <row r="236" spans="2:14">
      <c r="B236" s="1499"/>
      <c r="C236" s="9">
        <v>22</v>
      </c>
      <c r="D236" s="259">
        <f t="shared" si="25"/>
        <v>0</v>
      </c>
      <c r="E236" s="259">
        <f t="shared" si="26"/>
        <v>0</v>
      </c>
      <c r="F236" s="259">
        <f t="shared" si="27"/>
        <v>0</v>
      </c>
      <c r="G236" s="259">
        <f t="shared" si="28"/>
        <v>0</v>
      </c>
      <c r="H236" s="169">
        <f t="shared" si="29"/>
        <v>0</v>
      </c>
    </row>
    <row r="237" spans="2:14">
      <c r="B237" s="1499"/>
      <c r="C237" s="9">
        <v>23</v>
      </c>
      <c r="D237" s="259">
        <f t="shared" si="25"/>
        <v>0</v>
      </c>
      <c r="E237" s="259">
        <f t="shared" si="26"/>
        <v>0</v>
      </c>
      <c r="F237" s="259">
        <f t="shared" si="27"/>
        <v>0</v>
      </c>
      <c r="G237" s="259">
        <f t="shared" si="28"/>
        <v>0</v>
      </c>
      <c r="H237" s="169">
        <f t="shared" si="29"/>
        <v>0</v>
      </c>
    </row>
    <row r="238" spans="2:14">
      <c r="B238" s="1499"/>
      <c r="C238" s="9">
        <v>24</v>
      </c>
      <c r="D238" s="259">
        <f t="shared" si="25"/>
        <v>0</v>
      </c>
      <c r="E238" s="259">
        <f t="shared" si="26"/>
        <v>0</v>
      </c>
      <c r="F238" s="259">
        <f t="shared" si="27"/>
        <v>0</v>
      </c>
      <c r="G238" s="259">
        <f t="shared" si="28"/>
        <v>0</v>
      </c>
      <c r="H238" s="169">
        <f t="shared" si="29"/>
        <v>0</v>
      </c>
    </row>
    <row r="239" spans="2:14">
      <c r="B239" s="1499"/>
      <c r="C239" s="9">
        <v>25</v>
      </c>
      <c r="D239" s="259">
        <f t="shared" si="25"/>
        <v>0</v>
      </c>
      <c r="E239" s="259">
        <f t="shared" si="26"/>
        <v>0</v>
      </c>
      <c r="F239" s="259">
        <f t="shared" si="27"/>
        <v>0</v>
      </c>
      <c r="G239" s="259">
        <f t="shared" si="28"/>
        <v>0</v>
      </c>
      <c r="H239" s="169">
        <f t="shared" si="29"/>
        <v>0</v>
      </c>
    </row>
    <row r="240" spans="2:14">
      <c r="B240" s="1499"/>
      <c r="C240" s="9">
        <v>26</v>
      </c>
      <c r="D240" s="259">
        <f t="shared" si="25"/>
        <v>0</v>
      </c>
      <c r="E240" s="259">
        <f t="shared" si="26"/>
        <v>0</v>
      </c>
      <c r="F240" s="259">
        <f t="shared" si="27"/>
        <v>0</v>
      </c>
      <c r="G240" s="259">
        <f t="shared" si="28"/>
        <v>0</v>
      </c>
      <c r="H240" s="169">
        <f t="shared" si="29"/>
        <v>0</v>
      </c>
    </row>
    <row r="241" spans="2:8">
      <c r="B241" s="1499"/>
      <c r="C241" s="9">
        <v>27</v>
      </c>
      <c r="D241" s="259">
        <f t="shared" si="25"/>
        <v>0</v>
      </c>
      <c r="E241" s="259">
        <f t="shared" si="26"/>
        <v>0</v>
      </c>
      <c r="F241" s="259">
        <f t="shared" si="27"/>
        <v>0</v>
      </c>
      <c r="G241" s="259">
        <f t="shared" si="28"/>
        <v>0</v>
      </c>
      <c r="H241" s="169">
        <f t="shared" si="29"/>
        <v>0</v>
      </c>
    </row>
    <row r="242" spans="2:8">
      <c r="B242" s="1499"/>
      <c r="C242" s="9">
        <v>28</v>
      </c>
      <c r="D242" s="259">
        <f t="shared" si="25"/>
        <v>0</v>
      </c>
      <c r="E242" s="259">
        <f t="shared" si="26"/>
        <v>0</v>
      </c>
      <c r="F242" s="259">
        <f t="shared" si="27"/>
        <v>0</v>
      </c>
      <c r="G242" s="259">
        <f t="shared" si="28"/>
        <v>0</v>
      </c>
      <c r="H242" s="169">
        <f t="shared" si="29"/>
        <v>0</v>
      </c>
    </row>
    <row r="243" spans="2:8">
      <c r="B243" s="1499"/>
      <c r="C243" s="9">
        <v>29</v>
      </c>
      <c r="D243" s="259">
        <f t="shared" si="25"/>
        <v>0</v>
      </c>
      <c r="E243" s="259">
        <f t="shared" si="26"/>
        <v>0</v>
      </c>
      <c r="F243" s="259">
        <f t="shared" si="27"/>
        <v>0</v>
      </c>
      <c r="G243" s="259">
        <f t="shared" si="28"/>
        <v>0</v>
      </c>
      <c r="H243" s="169">
        <f t="shared" si="29"/>
        <v>0</v>
      </c>
    </row>
    <row r="244" spans="2:8" ht="15" thickBot="1">
      <c r="B244" s="1500"/>
      <c r="C244" s="337">
        <v>30</v>
      </c>
      <c r="D244" s="347">
        <f t="shared" si="25"/>
        <v>0</v>
      </c>
      <c r="E244" s="347">
        <f t="shared" si="26"/>
        <v>0</v>
      </c>
      <c r="F244" s="347">
        <f t="shared" si="27"/>
        <v>0</v>
      </c>
      <c r="G244" s="347">
        <f t="shared" si="28"/>
        <v>0</v>
      </c>
      <c r="H244" s="68">
        <f t="shared" si="29"/>
        <v>0</v>
      </c>
    </row>
    <row r="245" spans="2:8" ht="15" thickBot="1"/>
    <row r="246" spans="2:8" ht="15" thickBot="1">
      <c r="B246" s="1532" t="s">
        <v>502</v>
      </c>
      <c r="C246" s="93"/>
      <c r="D246" s="1466" t="s">
        <v>505</v>
      </c>
      <c r="E246" s="1466"/>
      <c r="F246" s="1466"/>
      <c r="G246" s="1466"/>
      <c r="H246" s="1467"/>
    </row>
    <row r="247" spans="2:8">
      <c r="B247" s="1533"/>
      <c r="C247" s="160" t="s">
        <v>169</v>
      </c>
      <c r="D247" s="154" t="s">
        <v>170</v>
      </c>
      <c r="E247" s="154" t="s">
        <v>171</v>
      </c>
      <c r="F247" s="154" t="s">
        <v>172</v>
      </c>
      <c r="G247" s="154" t="s">
        <v>173</v>
      </c>
      <c r="H247" s="157" t="s">
        <v>174</v>
      </c>
    </row>
    <row r="248" spans="2:8">
      <c r="B248" s="1533"/>
      <c r="C248" s="9">
        <v>0</v>
      </c>
      <c r="D248" s="259">
        <f t="shared" ref="D248:D278" si="30">D214*D97</f>
        <v>0</v>
      </c>
      <c r="E248" s="259">
        <f t="shared" ref="E248:E278" si="31">E214*D97</f>
        <v>0</v>
      </c>
      <c r="F248" s="259">
        <f t="shared" ref="F248:F278" si="32">F214*D97</f>
        <v>0</v>
      </c>
      <c r="G248" s="259">
        <f t="shared" ref="G248:G278" si="33">G214*D97</f>
        <v>0</v>
      </c>
      <c r="H248" s="169">
        <f t="shared" ref="H248:H278" si="34">H214*D97</f>
        <v>0</v>
      </c>
    </row>
    <row r="249" spans="2:8">
      <c r="B249" s="1533"/>
      <c r="C249" s="9">
        <v>1</v>
      </c>
      <c r="D249" s="259">
        <f t="shared" si="30"/>
        <v>0</v>
      </c>
      <c r="E249" s="259">
        <f t="shared" si="31"/>
        <v>0</v>
      </c>
      <c r="F249" s="259">
        <f t="shared" si="32"/>
        <v>0</v>
      </c>
      <c r="G249" s="259">
        <f t="shared" si="33"/>
        <v>0</v>
      </c>
      <c r="H249" s="169">
        <f t="shared" si="34"/>
        <v>0</v>
      </c>
    </row>
    <row r="250" spans="2:8">
      <c r="B250" s="1533"/>
      <c r="C250" s="9">
        <v>2</v>
      </c>
      <c r="D250" s="259">
        <f t="shared" si="30"/>
        <v>0</v>
      </c>
      <c r="E250" s="259">
        <f t="shared" si="31"/>
        <v>0</v>
      </c>
      <c r="F250" s="259">
        <f t="shared" si="32"/>
        <v>0</v>
      </c>
      <c r="G250" s="259">
        <f t="shared" si="33"/>
        <v>0</v>
      </c>
      <c r="H250" s="169">
        <f t="shared" si="34"/>
        <v>0</v>
      </c>
    </row>
    <row r="251" spans="2:8">
      <c r="B251" s="1533"/>
      <c r="C251" s="9">
        <v>3</v>
      </c>
      <c r="D251" s="259">
        <f t="shared" si="30"/>
        <v>0</v>
      </c>
      <c r="E251" s="259">
        <f t="shared" si="31"/>
        <v>0</v>
      </c>
      <c r="F251" s="259">
        <f t="shared" si="32"/>
        <v>0</v>
      </c>
      <c r="G251" s="259">
        <f t="shared" si="33"/>
        <v>0</v>
      </c>
      <c r="H251" s="169">
        <f t="shared" si="34"/>
        <v>0</v>
      </c>
    </row>
    <row r="252" spans="2:8">
      <c r="B252" s="1533"/>
      <c r="C252" s="9">
        <v>4</v>
      </c>
      <c r="D252" s="259">
        <f t="shared" si="30"/>
        <v>0</v>
      </c>
      <c r="E252" s="259">
        <f t="shared" si="31"/>
        <v>0</v>
      </c>
      <c r="F252" s="259">
        <f t="shared" si="32"/>
        <v>0</v>
      </c>
      <c r="G252" s="259">
        <f t="shared" si="33"/>
        <v>0</v>
      </c>
      <c r="H252" s="169">
        <f t="shared" si="34"/>
        <v>0</v>
      </c>
    </row>
    <row r="253" spans="2:8">
      <c r="B253" s="1533"/>
      <c r="C253" s="9">
        <v>5</v>
      </c>
      <c r="D253" s="259">
        <f t="shared" si="30"/>
        <v>0</v>
      </c>
      <c r="E253" s="259">
        <f t="shared" si="31"/>
        <v>0</v>
      </c>
      <c r="F253" s="259">
        <f t="shared" si="32"/>
        <v>0</v>
      </c>
      <c r="G253" s="259">
        <f t="shared" si="33"/>
        <v>0</v>
      </c>
      <c r="H253" s="169">
        <f t="shared" si="34"/>
        <v>0</v>
      </c>
    </row>
    <row r="254" spans="2:8">
      <c r="B254" s="1533"/>
      <c r="C254" s="9">
        <v>6</v>
      </c>
      <c r="D254" s="259">
        <f t="shared" si="30"/>
        <v>0</v>
      </c>
      <c r="E254" s="259">
        <f t="shared" si="31"/>
        <v>0</v>
      </c>
      <c r="F254" s="259">
        <f t="shared" si="32"/>
        <v>0</v>
      </c>
      <c r="G254" s="259">
        <f t="shared" si="33"/>
        <v>0</v>
      </c>
      <c r="H254" s="169">
        <f t="shared" si="34"/>
        <v>0</v>
      </c>
    </row>
    <row r="255" spans="2:8">
      <c r="B255" s="1533"/>
      <c r="C255" s="9">
        <v>7</v>
      </c>
      <c r="D255" s="259">
        <f t="shared" si="30"/>
        <v>0</v>
      </c>
      <c r="E255" s="259">
        <f t="shared" si="31"/>
        <v>0</v>
      </c>
      <c r="F255" s="259">
        <f t="shared" si="32"/>
        <v>0</v>
      </c>
      <c r="G255" s="259">
        <f t="shared" si="33"/>
        <v>0</v>
      </c>
      <c r="H255" s="169">
        <f t="shared" si="34"/>
        <v>0</v>
      </c>
    </row>
    <row r="256" spans="2:8">
      <c r="B256" s="1533"/>
      <c r="C256" s="9">
        <v>8</v>
      </c>
      <c r="D256" s="259">
        <f t="shared" si="30"/>
        <v>0</v>
      </c>
      <c r="E256" s="259">
        <f t="shared" si="31"/>
        <v>0</v>
      </c>
      <c r="F256" s="259">
        <f t="shared" si="32"/>
        <v>0</v>
      </c>
      <c r="G256" s="259">
        <f t="shared" si="33"/>
        <v>0</v>
      </c>
      <c r="H256" s="169">
        <f t="shared" si="34"/>
        <v>0</v>
      </c>
    </row>
    <row r="257" spans="2:14">
      <c r="B257" s="1533"/>
      <c r="C257" s="9">
        <v>9</v>
      </c>
      <c r="D257" s="259">
        <f t="shared" si="30"/>
        <v>0</v>
      </c>
      <c r="E257" s="259">
        <f t="shared" si="31"/>
        <v>0</v>
      </c>
      <c r="F257" s="259">
        <f t="shared" si="32"/>
        <v>0</v>
      </c>
      <c r="G257" s="259">
        <f t="shared" si="33"/>
        <v>0</v>
      </c>
      <c r="H257" s="169">
        <f t="shared" si="34"/>
        <v>0</v>
      </c>
      <c r="N257" s="332"/>
    </row>
    <row r="258" spans="2:14">
      <c r="B258" s="1533"/>
      <c r="C258" s="9">
        <v>10</v>
      </c>
      <c r="D258" s="259">
        <f t="shared" si="30"/>
        <v>0</v>
      </c>
      <c r="E258" s="259">
        <f t="shared" si="31"/>
        <v>0</v>
      </c>
      <c r="F258" s="259">
        <f t="shared" si="32"/>
        <v>0</v>
      </c>
      <c r="G258" s="259">
        <f t="shared" si="33"/>
        <v>0</v>
      </c>
      <c r="H258" s="169">
        <f t="shared" si="34"/>
        <v>0</v>
      </c>
    </row>
    <row r="259" spans="2:14">
      <c r="B259" s="1533"/>
      <c r="C259" s="9">
        <v>11</v>
      </c>
      <c r="D259" s="259">
        <f t="shared" si="30"/>
        <v>0</v>
      </c>
      <c r="E259" s="259">
        <f t="shared" si="31"/>
        <v>0</v>
      </c>
      <c r="F259" s="259">
        <f t="shared" si="32"/>
        <v>0</v>
      </c>
      <c r="G259" s="259">
        <f t="shared" si="33"/>
        <v>0</v>
      </c>
      <c r="H259" s="169">
        <f t="shared" si="34"/>
        <v>0</v>
      </c>
    </row>
    <row r="260" spans="2:14">
      <c r="B260" s="1533"/>
      <c r="C260" s="9">
        <v>12</v>
      </c>
      <c r="D260" s="259">
        <f t="shared" si="30"/>
        <v>0</v>
      </c>
      <c r="E260" s="259">
        <f t="shared" si="31"/>
        <v>0</v>
      </c>
      <c r="F260" s="259">
        <f t="shared" si="32"/>
        <v>0</v>
      </c>
      <c r="G260" s="259">
        <f t="shared" si="33"/>
        <v>0</v>
      </c>
      <c r="H260" s="169">
        <f t="shared" si="34"/>
        <v>0</v>
      </c>
    </row>
    <row r="261" spans="2:14">
      <c r="B261" s="1533"/>
      <c r="C261" s="9">
        <v>13</v>
      </c>
      <c r="D261" s="259">
        <f t="shared" si="30"/>
        <v>0</v>
      </c>
      <c r="E261" s="259">
        <f t="shared" si="31"/>
        <v>0</v>
      </c>
      <c r="F261" s="259">
        <f t="shared" si="32"/>
        <v>0</v>
      </c>
      <c r="G261" s="259">
        <f t="shared" si="33"/>
        <v>0</v>
      </c>
      <c r="H261" s="169">
        <f t="shared" si="34"/>
        <v>0</v>
      </c>
    </row>
    <row r="262" spans="2:14">
      <c r="B262" s="1533"/>
      <c r="C262" s="9">
        <v>14</v>
      </c>
      <c r="D262" s="259">
        <f t="shared" si="30"/>
        <v>0</v>
      </c>
      <c r="E262" s="259">
        <f t="shared" si="31"/>
        <v>0</v>
      </c>
      <c r="F262" s="259">
        <f t="shared" si="32"/>
        <v>0</v>
      </c>
      <c r="G262" s="259">
        <f t="shared" si="33"/>
        <v>0</v>
      </c>
      <c r="H262" s="169">
        <f t="shared" si="34"/>
        <v>0</v>
      </c>
    </row>
    <row r="263" spans="2:14">
      <c r="B263" s="1533"/>
      <c r="C263" s="9">
        <v>15</v>
      </c>
      <c r="D263" s="259">
        <f t="shared" si="30"/>
        <v>0</v>
      </c>
      <c r="E263" s="259">
        <f t="shared" si="31"/>
        <v>0</v>
      </c>
      <c r="F263" s="259">
        <f t="shared" si="32"/>
        <v>0</v>
      </c>
      <c r="G263" s="259">
        <f t="shared" si="33"/>
        <v>0</v>
      </c>
      <c r="H263" s="169">
        <f t="shared" si="34"/>
        <v>0</v>
      </c>
    </row>
    <row r="264" spans="2:14">
      <c r="B264" s="1533"/>
      <c r="C264" s="9">
        <v>16</v>
      </c>
      <c r="D264" s="259">
        <f t="shared" si="30"/>
        <v>0</v>
      </c>
      <c r="E264" s="259">
        <f t="shared" si="31"/>
        <v>0</v>
      </c>
      <c r="F264" s="259">
        <f t="shared" si="32"/>
        <v>0</v>
      </c>
      <c r="G264" s="259">
        <f t="shared" si="33"/>
        <v>0</v>
      </c>
      <c r="H264" s="169">
        <f t="shared" si="34"/>
        <v>0</v>
      </c>
    </row>
    <row r="265" spans="2:14">
      <c r="B265" s="1533"/>
      <c r="C265" s="9">
        <v>17</v>
      </c>
      <c r="D265" s="259">
        <f t="shared" si="30"/>
        <v>0</v>
      </c>
      <c r="E265" s="259">
        <f t="shared" si="31"/>
        <v>0</v>
      </c>
      <c r="F265" s="259">
        <f t="shared" si="32"/>
        <v>0</v>
      </c>
      <c r="G265" s="259">
        <f t="shared" si="33"/>
        <v>0</v>
      </c>
      <c r="H265" s="169">
        <f t="shared" si="34"/>
        <v>0</v>
      </c>
    </row>
    <row r="266" spans="2:14">
      <c r="B266" s="1533"/>
      <c r="C266" s="9">
        <v>18</v>
      </c>
      <c r="D266" s="259">
        <f t="shared" si="30"/>
        <v>0</v>
      </c>
      <c r="E266" s="259">
        <f t="shared" si="31"/>
        <v>0</v>
      </c>
      <c r="F266" s="259">
        <f t="shared" si="32"/>
        <v>0</v>
      </c>
      <c r="G266" s="259">
        <f t="shared" si="33"/>
        <v>0</v>
      </c>
      <c r="H266" s="169">
        <f t="shared" si="34"/>
        <v>0</v>
      </c>
    </row>
    <row r="267" spans="2:14">
      <c r="B267" s="1533"/>
      <c r="C267" s="9">
        <v>19</v>
      </c>
      <c r="D267" s="259">
        <f t="shared" si="30"/>
        <v>0</v>
      </c>
      <c r="E267" s="259">
        <f t="shared" si="31"/>
        <v>0</v>
      </c>
      <c r="F267" s="259">
        <f t="shared" si="32"/>
        <v>0</v>
      </c>
      <c r="G267" s="259">
        <f t="shared" si="33"/>
        <v>0</v>
      </c>
      <c r="H267" s="169">
        <f t="shared" si="34"/>
        <v>0</v>
      </c>
    </row>
    <row r="268" spans="2:14">
      <c r="B268" s="1533"/>
      <c r="C268" s="9">
        <v>20</v>
      </c>
      <c r="D268" s="259">
        <f t="shared" si="30"/>
        <v>0</v>
      </c>
      <c r="E268" s="259">
        <f t="shared" si="31"/>
        <v>0</v>
      </c>
      <c r="F268" s="259">
        <f t="shared" si="32"/>
        <v>0</v>
      </c>
      <c r="G268" s="259">
        <f t="shared" si="33"/>
        <v>0</v>
      </c>
      <c r="H268" s="169">
        <f t="shared" si="34"/>
        <v>0</v>
      </c>
    </row>
    <row r="269" spans="2:14">
      <c r="B269" s="1533"/>
      <c r="C269" s="9">
        <v>21</v>
      </c>
      <c r="D269" s="259">
        <f t="shared" si="30"/>
        <v>0</v>
      </c>
      <c r="E269" s="259">
        <f t="shared" si="31"/>
        <v>0</v>
      </c>
      <c r="F269" s="259">
        <f t="shared" si="32"/>
        <v>0</v>
      </c>
      <c r="G269" s="259">
        <f t="shared" si="33"/>
        <v>0</v>
      </c>
      <c r="H269" s="169">
        <f t="shared" si="34"/>
        <v>0</v>
      </c>
    </row>
    <row r="270" spans="2:14">
      <c r="B270" s="1533"/>
      <c r="C270" s="9">
        <v>22</v>
      </c>
      <c r="D270" s="259">
        <f t="shared" si="30"/>
        <v>0</v>
      </c>
      <c r="E270" s="259">
        <f t="shared" si="31"/>
        <v>0</v>
      </c>
      <c r="F270" s="259">
        <f t="shared" si="32"/>
        <v>0</v>
      </c>
      <c r="G270" s="259">
        <f t="shared" si="33"/>
        <v>0</v>
      </c>
      <c r="H270" s="169">
        <f t="shared" si="34"/>
        <v>0</v>
      </c>
    </row>
    <row r="271" spans="2:14">
      <c r="B271" s="1533"/>
      <c r="C271" s="9">
        <v>23</v>
      </c>
      <c r="D271" s="259">
        <f t="shared" si="30"/>
        <v>0</v>
      </c>
      <c r="E271" s="259">
        <f t="shared" si="31"/>
        <v>0</v>
      </c>
      <c r="F271" s="259">
        <f t="shared" si="32"/>
        <v>0</v>
      </c>
      <c r="G271" s="259">
        <f t="shared" si="33"/>
        <v>0</v>
      </c>
      <c r="H271" s="169">
        <f t="shared" si="34"/>
        <v>0</v>
      </c>
    </row>
    <row r="272" spans="2:14">
      <c r="B272" s="1533"/>
      <c r="C272" s="9">
        <v>24</v>
      </c>
      <c r="D272" s="259">
        <f t="shared" si="30"/>
        <v>0</v>
      </c>
      <c r="E272" s="259">
        <f t="shared" si="31"/>
        <v>0</v>
      </c>
      <c r="F272" s="259">
        <f t="shared" si="32"/>
        <v>0</v>
      </c>
      <c r="G272" s="259">
        <f t="shared" si="33"/>
        <v>0</v>
      </c>
      <c r="H272" s="169">
        <f t="shared" si="34"/>
        <v>0</v>
      </c>
    </row>
    <row r="273" spans="2:10">
      <c r="B273" s="1533"/>
      <c r="C273" s="9">
        <v>25</v>
      </c>
      <c r="D273" s="259">
        <f t="shared" si="30"/>
        <v>0</v>
      </c>
      <c r="E273" s="259">
        <f t="shared" si="31"/>
        <v>0</v>
      </c>
      <c r="F273" s="259">
        <f t="shared" si="32"/>
        <v>0</v>
      </c>
      <c r="G273" s="259">
        <f t="shared" si="33"/>
        <v>0</v>
      </c>
      <c r="H273" s="169">
        <f t="shared" si="34"/>
        <v>0</v>
      </c>
    </row>
    <row r="274" spans="2:10">
      <c r="B274" s="1533"/>
      <c r="C274" s="9">
        <v>26</v>
      </c>
      <c r="D274" s="259">
        <f t="shared" si="30"/>
        <v>0</v>
      </c>
      <c r="E274" s="259">
        <f t="shared" si="31"/>
        <v>0</v>
      </c>
      <c r="F274" s="259">
        <f t="shared" si="32"/>
        <v>0</v>
      </c>
      <c r="G274" s="259">
        <f t="shared" si="33"/>
        <v>0</v>
      </c>
      <c r="H274" s="169">
        <f t="shared" si="34"/>
        <v>0</v>
      </c>
    </row>
    <row r="275" spans="2:10">
      <c r="B275" s="1533"/>
      <c r="C275" s="9">
        <v>27</v>
      </c>
      <c r="D275" s="259">
        <f t="shared" si="30"/>
        <v>0</v>
      </c>
      <c r="E275" s="259">
        <f t="shared" si="31"/>
        <v>0</v>
      </c>
      <c r="F275" s="259">
        <f t="shared" si="32"/>
        <v>0</v>
      </c>
      <c r="G275" s="259">
        <f t="shared" si="33"/>
        <v>0</v>
      </c>
      <c r="H275" s="169">
        <f t="shared" si="34"/>
        <v>0</v>
      </c>
    </row>
    <row r="276" spans="2:10">
      <c r="B276" s="1533"/>
      <c r="C276" s="9">
        <v>28</v>
      </c>
      <c r="D276" s="259">
        <f t="shared" si="30"/>
        <v>0</v>
      </c>
      <c r="E276" s="259">
        <f t="shared" si="31"/>
        <v>0</v>
      </c>
      <c r="F276" s="259">
        <f t="shared" si="32"/>
        <v>0</v>
      </c>
      <c r="G276" s="259">
        <f t="shared" si="33"/>
        <v>0</v>
      </c>
      <c r="H276" s="169">
        <f t="shared" si="34"/>
        <v>0</v>
      </c>
    </row>
    <row r="277" spans="2:10">
      <c r="B277" s="1533"/>
      <c r="C277" s="9">
        <v>29</v>
      </c>
      <c r="D277" s="259">
        <f t="shared" si="30"/>
        <v>0</v>
      </c>
      <c r="E277" s="259">
        <f t="shared" si="31"/>
        <v>0</v>
      </c>
      <c r="F277" s="259">
        <f t="shared" si="32"/>
        <v>0</v>
      </c>
      <c r="G277" s="259">
        <f t="shared" si="33"/>
        <v>0</v>
      </c>
      <c r="H277" s="169">
        <f t="shared" si="34"/>
        <v>0</v>
      </c>
    </row>
    <row r="278" spans="2:10" ht="15" thickBot="1">
      <c r="B278" s="1533"/>
      <c r="C278" s="337">
        <v>30</v>
      </c>
      <c r="D278" s="347">
        <f t="shared" si="30"/>
        <v>0</v>
      </c>
      <c r="E278" s="347">
        <f t="shared" si="31"/>
        <v>0</v>
      </c>
      <c r="F278" s="347">
        <f t="shared" si="32"/>
        <v>0</v>
      </c>
      <c r="G278" s="347">
        <f t="shared" si="33"/>
        <v>0</v>
      </c>
      <c r="H278" s="68">
        <f t="shared" si="34"/>
        <v>0</v>
      </c>
    </row>
    <row r="279" spans="2:10" ht="15" thickBot="1">
      <c r="B279" s="1533"/>
      <c r="C279" s="262" t="s">
        <v>506</v>
      </c>
      <c r="D279" s="348">
        <f>SUM(D248:D278)</f>
        <v>0</v>
      </c>
      <c r="E279" s="348">
        <f t="shared" ref="E279:H279" si="35">SUM(E248:E278)</f>
        <v>0</v>
      </c>
      <c r="F279" s="348">
        <f t="shared" si="35"/>
        <v>0</v>
      </c>
      <c r="G279" s="348">
        <f t="shared" si="35"/>
        <v>0</v>
      </c>
      <c r="H279" s="344">
        <f t="shared" si="35"/>
        <v>0</v>
      </c>
    </row>
    <row r="280" spans="2:10" ht="15" thickBot="1"/>
    <row r="281" spans="2:10" ht="15" thickBot="1">
      <c r="F281" s="1465" t="s">
        <v>483</v>
      </c>
      <c r="G281" s="1466"/>
      <c r="H281" s="1466"/>
      <c r="I281" s="1466"/>
      <c r="J281" s="1467"/>
    </row>
    <row r="282" spans="2:10" ht="15" thickBot="1">
      <c r="B282" s="1498" t="s">
        <v>507</v>
      </c>
      <c r="C282" s="152" t="s">
        <v>169</v>
      </c>
      <c r="D282" s="152" t="s">
        <v>485</v>
      </c>
      <c r="E282" s="160" t="s">
        <v>486</v>
      </c>
      <c r="F282" s="159" t="s">
        <v>170</v>
      </c>
      <c r="G282" s="262" t="s">
        <v>171</v>
      </c>
      <c r="H282" s="217" t="s">
        <v>172</v>
      </c>
      <c r="I282" s="217" t="s">
        <v>173</v>
      </c>
      <c r="J282" s="124" t="s">
        <v>174</v>
      </c>
    </row>
    <row r="283" spans="2:10">
      <c r="B283" s="1499"/>
      <c r="C283" s="153">
        <v>0</v>
      </c>
      <c r="D283" s="334">
        <f>'Advanced - Teachers'!T13*'Advanced - Teachers'!$T$10</f>
        <v>0</v>
      </c>
      <c r="E283" s="288">
        <f>'Advanced - Teachers'!W13*'Advanced - Teachers'!$W$10</f>
        <v>0</v>
      </c>
      <c r="F283" s="264">
        <f>(E283*D324)-(D283*D324)</f>
        <v>0</v>
      </c>
      <c r="G283" s="1050">
        <f>(E283*E324)-(D283*E324)</f>
        <v>0</v>
      </c>
      <c r="H283" s="1051">
        <f>(E283*F324)-(D283*F324)</f>
        <v>0</v>
      </c>
      <c r="I283" s="1051">
        <f>(E283*G324)-(D283*G324)</f>
        <v>0</v>
      </c>
      <c r="J283" s="263">
        <f>(E283*H324)-(D283*H324)</f>
        <v>0</v>
      </c>
    </row>
    <row r="284" spans="2:10">
      <c r="B284" s="1499"/>
      <c r="C284" s="153">
        <v>1</v>
      </c>
      <c r="D284" s="334">
        <f>'Advanced - Teachers'!T14*'Advanced - Teachers'!$T$10</f>
        <v>0</v>
      </c>
      <c r="E284" s="288">
        <f>'Advanced - Teachers'!W14*'Advanced - Teachers'!$W$10</f>
        <v>0</v>
      </c>
      <c r="F284" s="264">
        <f t="shared" ref="F284:F313" si="36">(E284*D325)-(D284*D325)</f>
        <v>0</v>
      </c>
      <c r="G284" s="1052">
        <f t="shared" ref="G284:G313" si="37">(E284*E325)-(D284*E325)</f>
        <v>0</v>
      </c>
      <c r="H284" s="258">
        <f t="shared" ref="H284:H313" si="38">(E284*F325)-(D284*F325)</f>
        <v>0</v>
      </c>
      <c r="I284" s="258">
        <f t="shared" ref="I284:I313" si="39">(E284*G325)-(D284*G325)</f>
        <v>0</v>
      </c>
      <c r="J284" s="264">
        <f t="shared" ref="J284:J313" si="40">(E284*H325)-(D284*H325)</f>
        <v>0</v>
      </c>
    </row>
    <row r="285" spans="2:10">
      <c r="B285" s="1499"/>
      <c r="C285" s="153">
        <v>2</v>
      </c>
      <c r="D285" s="334">
        <f>'Advanced - Teachers'!T15*'Advanced - Teachers'!$T$10</f>
        <v>0</v>
      </c>
      <c r="E285" s="288">
        <f>'Advanced - Teachers'!W15*'Advanced - Teachers'!$W$10</f>
        <v>0</v>
      </c>
      <c r="F285" s="264">
        <f t="shared" si="36"/>
        <v>0</v>
      </c>
      <c r="G285" s="1052">
        <f t="shared" si="37"/>
        <v>0</v>
      </c>
      <c r="H285" s="258">
        <f t="shared" si="38"/>
        <v>0</v>
      </c>
      <c r="I285" s="258">
        <f t="shared" si="39"/>
        <v>0</v>
      </c>
      <c r="J285" s="264">
        <f t="shared" si="40"/>
        <v>0</v>
      </c>
    </row>
    <row r="286" spans="2:10">
      <c r="B286" s="1499"/>
      <c r="C286" s="153">
        <v>3</v>
      </c>
      <c r="D286" s="334">
        <f>'Advanced - Teachers'!T16*'Advanced - Teachers'!$T$10</f>
        <v>0</v>
      </c>
      <c r="E286" s="288">
        <f>'Advanced - Teachers'!W16*'Advanced - Teachers'!$W$10</f>
        <v>0</v>
      </c>
      <c r="F286" s="264">
        <f t="shared" si="36"/>
        <v>0</v>
      </c>
      <c r="G286" s="1052">
        <f t="shared" si="37"/>
        <v>0</v>
      </c>
      <c r="H286" s="258">
        <f t="shared" si="38"/>
        <v>0</v>
      </c>
      <c r="I286" s="258">
        <f t="shared" si="39"/>
        <v>0</v>
      </c>
      <c r="J286" s="264">
        <f t="shared" si="40"/>
        <v>0</v>
      </c>
    </row>
    <row r="287" spans="2:10">
      <c r="B287" s="1499"/>
      <c r="C287" s="153">
        <v>4</v>
      </c>
      <c r="D287" s="334">
        <f>'Advanced - Teachers'!T17*'Advanced - Teachers'!$T$10</f>
        <v>0</v>
      </c>
      <c r="E287" s="288">
        <f>'Advanced - Teachers'!W17*'Advanced - Teachers'!$W$10</f>
        <v>0</v>
      </c>
      <c r="F287" s="264">
        <f t="shared" si="36"/>
        <v>0</v>
      </c>
      <c r="G287" s="1052">
        <f t="shared" si="37"/>
        <v>0</v>
      </c>
      <c r="H287" s="258">
        <f t="shared" si="38"/>
        <v>0</v>
      </c>
      <c r="I287" s="258">
        <f t="shared" si="39"/>
        <v>0</v>
      </c>
      <c r="J287" s="264">
        <f t="shared" si="40"/>
        <v>0</v>
      </c>
    </row>
    <row r="288" spans="2:10">
      <c r="B288" s="1499"/>
      <c r="C288" s="153">
        <v>5</v>
      </c>
      <c r="D288" s="334">
        <f>'Advanced - Teachers'!T18*'Advanced - Teachers'!$T$10</f>
        <v>0</v>
      </c>
      <c r="E288" s="288">
        <f>'Advanced - Teachers'!W18*'Advanced - Teachers'!$W$10</f>
        <v>0</v>
      </c>
      <c r="F288" s="264">
        <f t="shared" si="36"/>
        <v>0</v>
      </c>
      <c r="G288" s="1052">
        <f t="shared" si="37"/>
        <v>0</v>
      </c>
      <c r="H288" s="258">
        <f t="shared" si="38"/>
        <v>0</v>
      </c>
      <c r="I288" s="258">
        <f t="shared" si="39"/>
        <v>0</v>
      </c>
      <c r="J288" s="264">
        <f t="shared" si="40"/>
        <v>0</v>
      </c>
    </row>
    <row r="289" spans="2:10">
      <c r="B289" s="1499"/>
      <c r="C289" s="153">
        <v>6</v>
      </c>
      <c r="D289" s="334">
        <f>'Advanced - Teachers'!T19*'Advanced - Teachers'!$T$10</f>
        <v>0</v>
      </c>
      <c r="E289" s="288">
        <f>'Advanced - Teachers'!W19*'Advanced - Teachers'!$W$10</f>
        <v>0</v>
      </c>
      <c r="F289" s="264">
        <f t="shared" si="36"/>
        <v>0</v>
      </c>
      <c r="G289" s="1052">
        <f t="shared" si="37"/>
        <v>0</v>
      </c>
      <c r="H289" s="258">
        <f t="shared" si="38"/>
        <v>0</v>
      </c>
      <c r="I289" s="258">
        <f t="shared" si="39"/>
        <v>0</v>
      </c>
      <c r="J289" s="264">
        <f t="shared" si="40"/>
        <v>0</v>
      </c>
    </row>
    <row r="290" spans="2:10">
      <c r="B290" s="1499"/>
      <c r="C290" s="153">
        <v>7</v>
      </c>
      <c r="D290" s="334">
        <f>'Advanced - Teachers'!T20*'Advanced - Teachers'!$T$10</f>
        <v>0</v>
      </c>
      <c r="E290" s="288">
        <f>'Advanced - Teachers'!W20*'Advanced - Teachers'!$W$10</f>
        <v>0</v>
      </c>
      <c r="F290" s="264">
        <f t="shared" si="36"/>
        <v>0</v>
      </c>
      <c r="G290" s="1052">
        <f t="shared" si="37"/>
        <v>0</v>
      </c>
      <c r="H290" s="258">
        <f t="shared" si="38"/>
        <v>0</v>
      </c>
      <c r="I290" s="258">
        <f t="shared" si="39"/>
        <v>0</v>
      </c>
      <c r="J290" s="264">
        <f t="shared" si="40"/>
        <v>0</v>
      </c>
    </row>
    <row r="291" spans="2:10">
      <c r="B291" s="1499"/>
      <c r="C291" s="153">
        <v>8</v>
      </c>
      <c r="D291" s="334">
        <f>'Advanced - Teachers'!T21*'Advanced - Teachers'!$T$10</f>
        <v>0</v>
      </c>
      <c r="E291" s="288">
        <f>'Advanced - Teachers'!W21*'Advanced - Teachers'!$W$10</f>
        <v>0</v>
      </c>
      <c r="F291" s="264">
        <f t="shared" si="36"/>
        <v>0</v>
      </c>
      <c r="G291" s="1052">
        <f t="shared" si="37"/>
        <v>0</v>
      </c>
      <c r="H291" s="258">
        <f t="shared" si="38"/>
        <v>0</v>
      </c>
      <c r="I291" s="258">
        <f t="shared" si="39"/>
        <v>0</v>
      </c>
      <c r="J291" s="264">
        <f t="shared" si="40"/>
        <v>0</v>
      </c>
    </row>
    <row r="292" spans="2:10">
      <c r="B292" s="1499"/>
      <c r="C292" s="153">
        <v>9</v>
      </c>
      <c r="D292" s="334">
        <f>'Advanced - Teachers'!T22*'Advanced - Teachers'!$T$10</f>
        <v>0</v>
      </c>
      <c r="E292" s="288">
        <f>'Advanced - Teachers'!W22*'Advanced - Teachers'!$W$10</f>
        <v>0</v>
      </c>
      <c r="F292" s="264">
        <f t="shared" si="36"/>
        <v>0</v>
      </c>
      <c r="G292" s="1052">
        <f t="shared" si="37"/>
        <v>0</v>
      </c>
      <c r="H292" s="258">
        <f t="shared" si="38"/>
        <v>0</v>
      </c>
      <c r="I292" s="258">
        <f t="shared" si="39"/>
        <v>0</v>
      </c>
      <c r="J292" s="264">
        <f t="shared" si="40"/>
        <v>0</v>
      </c>
    </row>
    <row r="293" spans="2:10">
      <c r="B293" s="1499"/>
      <c r="C293" s="153">
        <v>10</v>
      </c>
      <c r="D293" s="334">
        <f>'Advanced - Teachers'!T23*'Advanced - Teachers'!$T$10</f>
        <v>0</v>
      </c>
      <c r="E293" s="288">
        <f>'Advanced - Teachers'!W23*'Advanced - Teachers'!$W$10</f>
        <v>0</v>
      </c>
      <c r="F293" s="264">
        <f t="shared" si="36"/>
        <v>0</v>
      </c>
      <c r="G293" s="1052">
        <f t="shared" si="37"/>
        <v>0</v>
      </c>
      <c r="H293" s="258">
        <f t="shared" si="38"/>
        <v>0</v>
      </c>
      <c r="I293" s="258">
        <f t="shared" si="39"/>
        <v>0</v>
      </c>
      <c r="J293" s="264">
        <f t="shared" si="40"/>
        <v>0</v>
      </c>
    </row>
    <row r="294" spans="2:10">
      <c r="B294" s="1499"/>
      <c r="C294" s="153">
        <v>11</v>
      </c>
      <c r="D294" s="334">
        <f>'Advanced - Teachers'!T24*'Advanced - Teachers'!$T$10</f>
        <v>0</v>
      </c>
      <c r="E294" s="288">
        <f>'Advanced - Teachers'!W24*'Advanced - Teachers'!$W$10</f>
        <v>0</v>
      </c>
      <c r="F294" s="264">
        <f t="shared" si="36"/>
        <v>0</v>
      </c>
      <c r="G294" s="1052">
        <f t="shared" si="37"/>
        <v>0</v>
      </c>
      <c r="H294" s="258">
        <f t="shared" si="38"/>
        <v>0</v>
      </c>
      <c r="I294" s="258">
        <f t="shared" si="39"/>
        <v>0</v>
      </c>
      <c r="J294" s="264">
        <f t="shared" si="40"/>
        <v>0</v>
      </c>
    </row>
    <row r="295" spans="2:10">
      <c r="B295" s="1499"/>
      <c r="C295" s="153">
        <v>12</v>
      </c>
      <c r="D295" s="334">
        <f>'Advanced - Teachers'!T25*'Advanced - Teachers'!$T$10</f>
        <v>0</v>
      </c>
      <c r="E295" s="288">
        <f>'Advanced - Teachers'!W25*'Advanced - Teachers'!$W$10</f>
        <v>0</v>
      </c>
      <c r="F295" s="264">
        <f t="shared" si="36"/>
        <v>0</v>
      </c>
      <c r="G295" s="1052">
        <f t="shared" si="37"/>
        <v>0</v>
      </c>
      <c r="H295" s="258">
        <f t="shared" si="38"/>
        <v>0</v>
      </c>
      <c r="I295" s="258">
        <f t="shared" si="39"/>
        <v>0</v>
      </c>
      <c r="J295" s="264">
        <f t="shared" si="40"/>
        <v>0</v>
      </c>
    </row>
    <row r="296" spans="2:10">
      <c r="B296" s="1499"/>
      <c r="C296" s="153">
        <v>13</v>
      </c>
      <c r="D296" s="334">
        <f>'Advanced - Teachers'!T26*'Advanced - Teachers'!$T$10</f>
        <v>0</v>
      </c>
      <c r="E296" s="288">
        <f>'Advanced - Teachers'!W26*'Advanced - Teachers'!$W$10</f>
        <v>0</v>
      </c>
      <c r="F296" s="264">
        <f t="shared" si="36"/>
        <v>0</v>
      </c>
      <c r="G296" s="1052">
        <f t="shared" si="37"/>
        <v>0</v>
      </c>
      <c r="H296" s="258">
        <f t="shared" si="38"/>
        <v>0</v>
      </c>
      <c r="I296" s="258">
        <f t="shared" si="39"/>
        <v>0</v>
      </c>
      <c r="J296" s="264">
        <f t="shared" si="40"/>
        <v>0</v>
      </c>
    </row>
    <row r="297" spans="2:10">
      <c r="B297" s="1499"/>
      <c r="C297" s="153">
        <v>14</v>
      </c>
      <c r="D297" s="334">
        <f>'Advanced - Teachers'!T27*'Advanced - Teachers'!$T$10</f>
        <v>0</v>
      </c>
      <c r="E297" s="288">
        <f>'Advanced - Teachers'!W27*'Advanced - Teachers'!$W$10</f>
        <v>0</v>
      </c>
      <c r="F297" s="264">
        <f t="shared" si="36"/>
        <v>0</v>
      </c>
      <c r="G297" s="1052">
        <f t="shared" si="37"/>
        <v>0</v>
      </c>
      <c r="H297" s="258">
        <f t="shared" si="38"/>
        <v>0</v>
      </c>
      <c r="I297" s="258">
        <f t="shared" si="39"/>
        <v>0</v>
      </c>
      <c r="J297" s="264">
        <f t="shared" si="40"/>
        <v>0</v>
      </c>
    </row>
    <row r="298" spans="2:10">
      <c r="B298" s="1499"/>
      <c r="C298" s="153">
        <v>15</v>
      </c>
      <c r="D298" s="334">
        <f>'Advanced - Teachers'!T28*'Advanced - Teachers'!$T$10</f>
        <v>0</v>
      </c>
      <c r="E298" s="288">
        <f>'Advanced - Teachers'!W28*'Advanced - Teachers'!$W$10</f>
        <v>0</v>
      </c>
      <c r="F298" s="264">
        <f t="shared" si="36"/>
        <v>0</v>
      </c>
      <c r="G298" s="1052">
        <f t="shared" si="37"/>
        <v>0</v>
      </c>
      <c r="H298" s="258">
        <f t="shared" si="38"/>
        <v>0</v>
      </c>
      <c r="I298" s="258">
        <f t="shared" si="39"/>
        <v>0</v>
      </c>
      <c r="J298" s="264">
        <f t="shared" si="40"/>
        <v>0</v>
      </c>
    </row>
    <row r="299" spans="2:10">
      <c r="B299" s="1499"/>
      <c r="C299" s="153">
        <v>16</v>
      </c>
      <c r="D299" s="334">
        <f>'Advanced - Teachers'!T29*'Advanced - Teachers'!$T$10</f>
        <v>0</v>
      </c>
      <c r="E299" s="288">
        <f>'Advanced - Teachers'!W29*'Advanced - Teachers'!$W$10</f>
        <v>0</v>
      </c>
      <c r="F299" s="264">
        <f t="shared" si="36"/>
        <v>0</v>
      </c>
      <c r="G299" s="1052">
        <f t="shared" si="37"/>
        <v>0</v>
      </c>
      <c r="H299" s="258">
        <f t="shared" si="38"/>
        <v>0</v>
      </c>
      <c r="I299" s="258">
        <f t="shared" si="39"/>
        <v>0</v>
      </c>
      <c r="J299" s="264">
        <f t="shared" si="40"/>
        <v>0</v>
      </c>
    </row>
    <row r="300" spans="2:10">
      <c r="B300" s="1499"/>
      <c r="C300" s="153">
        <v>17</v>
      </c>
      <c r="D300" s="334">
        <f>'Advanced - Teachers'!T30*'Advanced - Teachers'!$T$10</f>
        <v>0</v>
      </c>
      <c r="E300" s="288">
        <f>'Advanced - Teachers'!W30*'Advanced - Teachers'!$W$10</f>
        <v>0</v>
      </c>
      <c r="F300" s="264">
        <f t="shared" si="36"/>
        <v>0</v>
      </c>
      <c r="G300" s="1052">
        <f t="shared" si="37"/>
        <v>0</v>
      </c>
      <c r="H300" s="258">
        <f t="shared" si="38"/>
        <v>0</v>
      </c>
      <c r="I300" s="258">
        <f t="shared" si="39"/>
        <v>0</v>
      </c>
      <c r="J300" s="264">
        <f t="shared" si="40"/>
        <v>0</v>
      </c>
    </row>
    <row r="301" spans="2:10">
      <c r="B301" s="1499"/>
      <c r="C301" s="153">
        <v>18</v>
      </c>
      <c r="D301" s="334">
        <f>'Advanced - Teachers'!T31*'Advanced - Teachers'!$T$10</f>
        <v>0</v>
      </c>
      <c r="E301" s="288">
        <f>'Advanced - Teachers'!W31*'Advanced - Teachers'!$W$10</f>
        <v>0</v>
      </c>
      <c r="F301" s="264">
        <f t="shared" si="36"/>
        <v>0</v>
      </c>
      <c r="G301" s="1052">
        <f t="shared" si="37"/>
        <v>0</v>
      </c>
      <c r="H301" s="258">
        <f t="shared" si="38"/>
        <v>0</v>
      </c>
      <c r="I301" s="258">
        <f t="shared" si="39"/>
        <v>0</v>
      </c>
      <c r="J301" s="264">
        <f t="shared" si="40"/>
        <v>0</v>
      </c>
    </row>
    <row r="302" spans="2:10">
      <c r="B302" s="1499"/>
      <c r="C302" s="153">
        <v>19</v>
      </c>
      <c r="D302" s="334">
        <f>'Advanced - Teachers'!T32*'Advanced - Teachers'!$T$10</f>
        <v>0</v>
      </c>
      <c r="E302" s="288">
        <f>'Advanced - Teachers'!W32*'Advanced - Teachers'!$W$10</f>
        <v>0</v>
      </c>
      <c r="F302" s="264">
        <f t="shared" si="36"/>
        <v>0</v>
      </c>
      <c r="G302" s="1052">
        <f t="shared" si="37"/>
        <v>0</v>
      </c>
      <c r="H302" s="258">
        <f t="shared" si="38"/>
        <v>0</v>
      </c>
      <c r="I302" s="258">
        <f t="shared" si="39"/>
        <v>0</v>
      </c>
      <c r="J302" s="264">
        <f t="shared" si="40"/>
        <v>0</v>
      </c>
    </row>
    <row r="303" spans="2:10">
      <c r="B303" s="1499"/>
      <c r="C303" s="153">
        <v>20</v>
      </c>
      <c r="D303" s="334">
        <f>'Advanced - Teachers'!T33*'Advanced - Teachers'!$T$10</f>
        <v>0</v>
      </c>
      <c r="E303" s="288">
        <f>'Advanced - Teachers'!W33*'Advanced - Teachers'!$W$10</f>
        <v>0</v>
      </c>
      <c r="F303" s="264">
        <f t="shared" si="36"/>
        <v>0</v>
      </c>
      <c r="G303" s="1052">
        <f t="shared" si="37"/>
        <v>0</v>
      </c>
      <c r="H303" s="258">
        <f t="shared" si="38"/>
        <v>0</v>
      </c>
      <c r="I303" s="258">
        <f t="shared" si="39"/>
        <v>0</v>
      </c>
      <c r="J303" s="264">
        <f t="shared" si="40"/>
        <v>0</v>
      </c>
    </row>
    <row r="304" spans="2:10">
      <c r="B304" s="1499"/>
      <c r="C304" s="153">
        <v>21</v>
      </c>
      <c r="D304" s="334">
        <f>'Advanced - Teachers'!T34*'Advanced - Teachers'!$T$10</f>
        <v>0</v>
      </c>
      <c r="E304" s="288">
        <f>'Advanced - Teachers'!W34*'Advanced - Teachers'!$W$10</f>
        <v>0</v>
      </c>
      <c r="F304" s="264">
        <f t="shared" si="36"/>
        <v>0</v>
      </c>
      <c r="G304" s="1052">
        <f t="shared" si="37"/>
        <v>0</v>
      </c>
      <c r="H304" s="258">
        <f t="shared" si="38"/>
        <v>0</v>
      </c>
      <c r="I304" s="258">
        <f t="shared" si="39"/>
        <v>0</v>
      </c>
      <c r="J304" s="264">
        <f t="shared" si="40"/>
        <v>0</v>
      </c>
    </row>
    <row r="305" spans="2:10">
      <c r="B305" s="1499"/>
      <c r="C305" s="153">
        <v>22</v>
      </c>
      <c r="D305" s="334">
        <f>'Advanced - Teachers'!T35*'Advanced - Teachers'!$T$10</f>
        <v>0</v>
      </c>
      <c r="E305" s="288">
        <f>'Advanced - Teachers'!W35*'Advanced - Teachers'!$W$10</f>
        <v>0</v>
      </c>
      <c r="F305" s="264">
        <f t="shared" si="36"/>
        <v>0</v>
      </c>
      <c r="G305" s="1052">
        <f t="shared" si="37"/>
        <v>0</v>
      </c>
      <c r="H305" s="258">
        <f t="shared" si="38"/>
        <v>0</v>
      </c>
      <c r="I305" s="258">
        <f t="shared" si="39"/>
        <v>0</v>
      </c>
      <c r="J305" s="264">
        <f t="shared" si="40"/>
        <v>0</v>
      </c>
    </row>
    <row r="306" spans="2:10">
      <c r="B306" s="1499"/>
      <c r="C306" s="153">
        <v>23</v>
      </c>
      <c r="D306" s="334">
        <f>'Advanced - Teachers'!T36*'Advanced - Teachers'!$T$10</f>
        <v>0</v>
      </c>
      <c r="E306" s="288">
        <f>'Advanced - Teachers'!W36*'Advanced - Teachers'!$W$10</f>
        <v>0</v>
      </c>
      <c r="F306" s="264">
        <f t="shared" si="36"/>
        <v>0</v>
      </c>
      <c r="G306" s="1052">
        <f t="shared" si="37"/>
        <v>0</v>
      </c>
      <c r="H306" s="258">
        <f t="shared" si="38"/>
        <v>0</v>
      </c>
      <c r="I306" s="258">
        <f t="shared" si="39"/>
        <v>0</v>
      </c>
      <c r="J306" s="264">
        <f t="shared" si="40"/>
        <v>0</v>
      </c>
    </row>
    <row r="307" spans="2:10">
      <c r="B307" s="1499"/>
      <c r="C307" s="153">
        <v>24</v>
      </c>
      <c r="D307" s="334">
        <f>'Advanced - Teachers'!T37*'Advanced - Teachers'!$T$10</f>
        <v>0</v>
      </c>
      <c r="E307" s="288">
        <f>'Advanced - Teachers'!W37*'Advanced - Teachers'!$W$10</f>
        <v>0</v>
      </c>
      <c r="F307" s="264">
        <f t="shared" si="36"/>
        <v>0</v>
      </c>
      <c r="G307" s="1052">
        <f t="shared" si="37"/>
        <v>0</v>
      </c>
      <c r="H307" s="258">
        <f t="shared" si="38"/>
        <v>0</v>
      </c>
      <c r="I307" s="258">
        <f t="shared" si="39"/>
        <v>0</v>
      </c>
      <c r="J307" s="264">
        <f t="shared" si="40"/>
        <v>0</v>
      </c>
    </row>
    <row r="308" spans="2:10">
      <c r="B308" s="1499"/>
      <c r="C308" s="153">
        <v>25</v>
      </c>
      <c r="D308" s="334">
        <f>'Advanced - Teachers'!T38*'Advanced - Teachers'!$T$10</f>
        <v>0</v>
      </c>
      <c r="E308" s="288">
        <f>'Advanced - Teachers'!W38*'Advanced - Teachers'!$W$10</f>
        <v>0</v>
      </c>
      <c r="F308" s="264">
        <f t="shared" si="36"/>
        <v>0</v>
      </c>
      <c r="G308" s="1052">
        <f t="shared" si="37"/>
        <v>0</v>
      </c>
      <c r="H308" s="258">
        <f t="shared" si="38"/>
        <v>0</v>
      </c>
      <c r="I308" s="258">
        <f t="shared" si="39"/>
        <v>0</v>
      </c>
      <c r="J308" s="264">
        <f t="shared" si="40"/>
        <v>0</v>
      </c>
    </row>
    <row r="309" spans="2:10">
      <c r="B309" s="1499"/>
      <c r="C309" s="153">
        <v>26</v>
      </c>
      <c r="D309" s="334">
        <f>'Advanced - Teachers'!T39*'Advanced - Teachers'!$T$10</f>
        <v>0</v>
      </c>
      <c r="E309" s="288">
        <f>'Advanced - Teachers'!W39*'Advanced - Teachers'!$W$10</f>
        <v>0</v>
      </c>
      <c r="F309" s="264">
        <f t="shared" si="36"/>
        <v>0</v>
      </c>
      <c r="G309" s="1052">
        <f t="shared" si="37"/>
        <v>0</v>
      </c>
      <c r="H309" s="258">
        <f t="shared" si="38"/>
        <v>0</v>
      </c>
      <c r="I309" s="258">
        <f t="shared" si="39"/>
        <v>0</v>
      </c>
      <c r="J309" s="264">
        <f t="shared" si="40"/>
        <v>0</v>
      </c>
    </row>
    <row r="310" spans="2:10">
      <c r="B310" s="1499"/>
      <c r="C310" s="153">
        <v>27</v>
      </c>
      <c r="D310" s="334">
        <f>'Advanced - Teachers'!T40*'Advanced - Teachers'!$T$10</f>
        <v>0</v>
      </c>
      <c r="E310" s="288">
        <f>'Advanced - Teachers'!W40*'Advanced - Teachers'!$W$10</f>
        <v>0</v>
      </c>
      <c r="F310" s="264">
        <f t="shared" si="36"/>
        <v>0</v>
      </c>
      <c r="G310" s="1052">
        <f t="shared" si="37"/>
        <v>0</v>
      </c>
      <c r="H310" s="258">
        <f t="shared" si="38"/>
        <v>0</v>
      </c>
      <c r="I310" s="258">
        <f t="shared" si="39"/>
        <v>0</v>
      </c>
      <c r="J310" s="264">
        <f t="shared" si="40"/>
        <v>0</v>
      </c>
    </row>
    <row r="311" spans="2:10">
      <c r="B311" s="1499"/>
      <c r="C311" s="153">
        <v>28</v>
      </c>
      <c r="D311" s="334">
        <f>'Advanced - Teachers'!T41*'Advanced - Teachers'!$T$10</f>
        <v>0</v>
      </c>
      <c r="E311" s="288">
        <f>'Advanced - Teachers'!W41*'Advanced - Teachers'!$W$10</f>
        <v>0</v>
      </c>
      <c r="F311" s="264">
        <f t="shared" si="36"/>
        <v>0</v>
      </c>
      <c r="G311" s="1052">
        <f t="shared" si="37"/>
        <v>0</v>
      </c>
      <c r="H311" s="258">
        <f t="shared" si="38"/>
        <v>0</v>
      </c>
      <c r="I311" s="258">
        <f t="shared" si="39"/>
        <v>0</v>
      </c>
      <c r="J311" s="264">
        <f t="shared" si="40"/>
        <v>0</v>
      </c>
    </row>
    <row r="312" spans="2:10">
      <c r="B312" s="1499"/>
      <c r="C312" s="153">
        <v>29</v>
      </c>
      <c r="D312" s="334">
        <f>'Advanced - Teachers'!T42*'Advanced - Teachers'!$T$10</f>
        <v>0</v>
      </c>
      <c r="E312" s="288">
        <f>'Advanced - Teachers'!W42*'Advanced - Teachers'!$W$10</f>
        <v>0</v>
      </c>
      <c r="F312" s="264">
        <f t="shared" si="36"/>
        <v>0</v>
      </c>
      <c r="G312" s="1052">
        <f t="shared" si="37"/>
        <v>0</v>
      </c>
      <c r="H312" s="258">
        <f t="shared" si="38"/>
        <v>0</v>
      </c>
      <c r="I312" s="258">
        <f t="shared" si="39"/>
        <v>0</v>
      </c>
      <c r="J312" s="264">
        <f t="shared" si="40"/>
        <v>0</v>
      </c>
    </row>
    <row r="313" spans="2:10" ht="15" thickBot="1">
      <c r="B313" s="1499"/>
      <c r="C313" s="90">
        <v>30</v>
      </c>
      <c r="D313" s="334">
        <f>'Advanced - Teachers'!T43*'Advanced - Teachers'!$T$10</f>
        <v>0</v>
      </c>
      <c r="E313" s="288">
        <f>'Advanced - Teachers'!W43*'Advanced - Teachers'!$W$10</f>
        <v>0</v>
      </c>
      <c r="F313" s="264">
        <f t="shared" si="36"/>
        <v>0</v>
      </c>
      <c r="G313" s="1053">
        <f t="shared" si="37"/>
        <v>0</v>
      </c>
      <c r="H313" s="1054">
        <f t="shared" si="38"/>
        <v>0</v>
      </c>
      <c r="I313" s="1054">
        <f t="shared" si="39"/>
        <v>0</v>
      </c>
      <c r="J313" s="235">
        <f t="shared" si="40"/>
        <v>0</v>
      </c>
    </row>
    <row r="314" spans="2:10" ht="15" thickBot="1">
      <c r="B314" s="1500"/>
      <c r="C314" s="262" t="s">
        <v>487</v>
      </c>
      <c r="D314" s="338">
        <f>SUM(D283:D313)</f>
        <v>0</v>
      </c>
      <c r="E314" s="338">
        <f>SUM(E283:E313)</f>
        <v>0</v>
      </c>
      <c r="F314" s="220">
        <f>SUM(F283:F313)</f>
        <v>0</v>
      </c>
      <c r="G314" s="375">
        <f>SUM(G283:G313)</f>
        <v>0</v>
      </c>
      <c r="H314" s="94">
        <f>SUM(H283:H313)</f>
        <v>0</v>
      </c>
      <c r="I314" s="94">
        <f t="shared" ref="I314:J314" si="41">SUM(I283:I313)</f>
        <v>0</v>
      </c>
      <c r="J314" s="94">
        <f t="shared" si="41"/>
        <v>0</v>
      </c>
    </row>
    <row r="315" spans="2:10" ht="15" thickBot="1"/>
    <row r="316" spans="2:10" ht="15" thickBot="1">
      <c r="B316" s="1445" t="s">
        <v>508</v>
      </c>
      <c r="C316" s="93"/>
      <c r="D316" s="217" t="s">
        <v>489</v>
      </c>
      <c r="E316" s="124" t="s">
        <v>490</v>
      </c>
    </row>
    <row r="317" spans="2:10">
      <c r="B317" s="1446"/>
      <c r="C317" t="s">
        <v>491</v>
      </c>
      <c r="D317" s="339">
        <f>'Advanced - Teachers'!$AG$12*$D$314*$E$46*-1</f>
        <v>0</v>
      </c>
      <c r="E317" s="340">
        <f>'Advanced - Teachers'!$AH$12*$E$47*$D$314*-1</f>
        <v>0</v>
      </c>
    </row>
    <row r="318" spans="2:10">
      <c r="B318" s="1446"/>
      <c r="C318" t="s">
        <v>492</v>
      </c>
      <c r="D318" s="341">
        <f>'Advanced - Teachers'!$AG$13*$E$314*$E$46</f>
        <v>0</v>
      </c>
      <c r="E318" s="342">
        <f>'Advanced - Teachers'!$AH$13*$E$314*$E$47</f>
        <v>0</v>
      </c>
    </row>
    <row r="319" spans="2:10">
      <c r="B319" s="1446"/>
      <c r="C319" t="s">
        <v>493</v>
      </c>
      <c r="D319" s="112">
        <f>SUM(D317:D318)</f>
        <v>0</v>
      </c>
      <c r="E319" s="333">
        <f>SUM(E317:E318)</f>
        <v>0</v>
      </c>
    </row>
    <row r="320" spans="2:10" ht="15" thickBot="1">
      <c r="B320" s="1447"/>
      <c r="C320" s="1519" t="s">
        <v>494</v>
      </c>
      <c r="D320" s="1519"/>
      <c r="E320" s="343">
        <f>SUM(D319:E319)</f>
        <v>0</v>
      </c>
    </row>
    <row r="321" spans="2:8" ht="15" thickBot="1"/>
    <row r="322" spans="2:8" ht="15" thickBot="1">
      <c r="B322" s="1498" t="s">
        <v>509</v>
      </c>
      <c r="C322" s="93"/>
      <c r="D322" s="1466" t="s">
        <v>503</v>
      </c>
      <c r="E322" s="1466"/>
      <c r="F322" s="1466"/>
      <c r="G322" s="1466"/>
      <c r="H322" s="1467"/>
    </row>
    <row r="323" spans="2:8">
      <c r="B323" s="1499"/>
      <c r="C323" s="160" t="s">
        <v>169</v>
      </c>
      <c r="D323" s="154" t="s">
        <v>170</v>
      </c>
      <c r="E323" s="154" t="s">
        <v>171</v>
      </c>
      <c r="F323" s="154" t="s">
        <v>172</v>
      </c>
      <c r="G323" s="154" t="s">
        <v>173</v>
      </c>
      <c r="H323" s="157" t="s">
        <v>174</v>
      </c>
    </row>
    <row r="324" spans="2:8">
      <c r="B324" s="1499"/>
      <c r="C324" s="9">
        <v>0</v>
      </c>
      <c r="D324" s="259">
        <f>E6+('Advanced - Teachers'!Z12*E6)</f>
        <v>0</v>
      </c>
      <c r="E324" s="259">
        <f>D324+(D324*'Advanced - Teachers'!AA12)</f>
        <v>0</v>
      </c>
      <c r="F324" s="259">
        <f>E324+(E324*'Advanced - Teachers'!AB12)</f>
        <v>0</v>
      </c>
      <c r="G324" s="259">
        <f>F324+(F324*'Advanced - Teachers'!AC12)</f>
        <v>0</v>
      </c>
      <c r="H324" s="169">
        <f>G324+(G324*'Advanced - Teachers'!AD12)</f>
        <v>0</v>
      </c>
    </row>
    <row r="325" spans="2:8">
      <c r="B325" s="1499"/>
      <c r="C325" s="9">
        <v>1</v>
      </c>
      <c r="D325" s="259">
        <f>E7+('Advanced - Teachers'!Z13*E7)</f>
        <v>0</v>
      </c>
      <c r="E325" s="259">
        <f>D325+(D325*'Advanced - Teachers'!AA157)</f>
        <v>0</v>
      </c>
      <c r="F325" s="259">
        <f>E325+(E325*'Advanced - Teachers'!AB157)</f>
        <v>0</v>
      </c>
      <c r="G325" s="259">
        <f>F325+(F325*'Advanced - Teachers'!AC157)</f>
        <v>0</v>
      </c>
      <c r="H325" s="169">
        <f>G325+(G325*'Advanced - Teachers'!AD157)</f>
        <v>0</v>
      </c>
    </row>
    <row r="326" spans="2:8">
      <c r="B326" s="1499"/>
      <c r="C326" s="9">
        <v>2</v>
      </c>
      <c r="D326" s="259">
        <f>E8+('Advanced - Teachers'!Z14*E8)</f>
        <v>0</v>
      </c>
      <c r="E326" s="259">
        <f>D326+(D326*'Advanced - Teachers'!AA158)</f>
        <v>0</v>
      </c>
      <c r="F326" s="259">
        <f>E326+(E326*'Advanced - Teachers'!AB158)</f>
        <v>0</v>
      </c>
      <c r="G326" s="259">
        <f>F326+(F326*'Advanced - Teachers'!AC158)</f>
        <v>0</v>
      </c>
      <c r="H326" s="169">
        <f>G326+(G326*'Advanced - Teachers'!AD158)</f>
        <v>0</v>
      </c>
    </row>
    <row r="327" spans="2:8">
      <c r="B327" s="1499"/>
      <c r="C327" s="9">
        <v>3</v>
      </c>
      <c r="D327" s="259">
        <f>E9+('Advanced - Teachers'!Z15*E9)</f>
        <v>0</v>
      </c>
      <c r="E327" s="259">
        <f>D327+(D327*'Advanced - Teachers'!AA159)</f>
        <v>0</v>
      </c>
      <c r="F327" s="259">
        <f>E327+(E327*'Advanced - Teachers'!AB159)</f>
        <v>0</v>
      </c>
      <c r="G327" s="259">
        <f>F327+(F327*'Advanced - Teachers'!AC159)</f>
        <v>0</v>
      </c>
      <c r="H327" s="169">
        <f>G327+(G327*'Advanced - Teachers'!AD159)</f>
        <v>0</v>
      </c>
    </row>
    <row r="328" spans="2:8">
      <c r="B328" s="1499"/>
      <c r="C328" s="9">
        <v>4</v>
      </c>
      <c r="D328" s="259">
        <f>E10+('Advanced - Teachers'!Z16*E10)</f>
        <v>0</v>
      </c>
      <c r="E328" s="259">
        <f>D328+(D328*'Advanced - Teachers'!AA160)</f>
        <v>0</v>
      </c>
      <c r="F328" s="259">
        <f>E328+(E328*'Advanced - Teachers'!AB160)</f>
        <v>0</v>
      </c>
      <c r="G328" s="259">
        <f>F328+(F328*'Advanced - Teachers'!AC160)</f>
        <v>0</v>
      </c>
      <c r="H328" s="169">
        <f>G328+(G328*'Advanced - Teachers'!AD160)</f>
        <v>0</v>
      </c>
    </row>
    <row r="329" spans="2:8">
      <c r="B329" s="1499"/>
      <c r="C329" s="9">
        <v>5</v>
      </c>
      <c r="D329" s="259">
        <f>E11+('Advanced - Teachers'!Z17*E11)</f>
        <v>0</v>
      </c>
      <c r="E329" s="259">
        <f>D329+(D329*'Advanced - Teachers'!AA161)</f>
        <v>0</v>
      </c>
      <c r="F329" s="259">
        <f>E329+(E329*'Advanced - Teachers'!AB161)</f>
        <v>0</v>
      </c>
      <c r="G329" s="259">
        <f>F329+(F329*'Advanced - Teachers'!AC161)</f>
        <v>0</v>
      </c>
      <c r="H329" s="169">
        <f>G329+(G329*'Advanced - Teachers'!AD161)</f>
        <v>0</v>
      </c>
    </row>
    <row r="330" spans="2:8">
      <c r="B330" s="1499"/>
      <c r="C330" s="9">
        <v>6</v>
      </c>
      <c r="D330" s="259">
        <f>E12+('Advanced - Teachers'!Z18*E12)</f>
        <v>0</v>
      </c>
      <c r="E330" s="259">
        <f>D330+(D330*'Advanced - Teachers'!AA162)</f>
        <v>0</v>
      </c>
      <c r="F330" s="259">
        <f>E330+(E330*'Advanced - Teachers'!AB162)</f>
        <v>0</v>
      </c>
      <c r="G330" s="259">
        <f>F330+(F330*'Advanced - Teachers'!AC162)</f>
        <v>0</v>
      </c>
      <c r="H330" s="169">
        <f>G330+(G330*'Advanced - Teachers'!AD162)</f>
        <v>0</v>
      </c>
    </row>
    <row r="331" spans="2:8">
      <c r="B331" s="1499"/>
      <c r="C331" s="9">
        <v>7</v>
      </c>
      <c r="D331" s="259">
        <f>E13+('Advanced - Teachers'!Z19*E13)</f>
        <v>0</v>
      </c>
      <c r="E331" s="259">
        <f>D331+(D331*'Advanced - Teachers'!AA163)</f>
        <v>0</v>
      </c>
      <c r="F331" s="259">
        <f>E331+(E331*'Advanced - Teachers'!AB163)</f>
        <v>0</v>
      </c>
      <c r="G331" s="259">
        <f>F331+(F331*'Advanced - Teachers'!AC163)</f>
        <v>0</v>
      </c>
      <c r="H331" s="169">
        <f>G331+(G331*'Advanced - Teachers'!AD163)</f>
        <v>0</v>
      </c>
    </row>
    <row r="332" spans="2:8">
      <c r="B332" s="1499"/>
      <c r="C332" s="9">
        <v>8</v>
      </c>
      <c r="D332" s="259">
        <f>E14+('Advanced - Teachers'!Z20*E14)</f>
        <v>0</v>
      </c>
      <c r="E332" s="259">
        <f>D332+(D332*'Advanced - Teachers'!AA164)</f>
        <v>0</v>
      </c>
      <c r="F332" s="259">
        <f>E332+(E332*'Advanced - Teachers'!AB164)</f>
        <v>0</v>
      </c>
      <c r="G332" s="259">
        <f>F332+(F332*'Advanced - Teachers'!AC164)</f>
        <v>0</v>
      </c>
      <c r="H332" s="169">
        <f>G332+(G332*'Advanced - Teachers'!AD164)</f>
        <v>0</v>
      </c>
    </row>
    <row r="333" spans="2:8">
      <c r="B333" s="1499"/>
      <c r="C333" s="9">
        <v>9</v>
      </c>
      <c r="D333" s="259">
        <f>E15+('Advanced - Teachers'!Z21*E15)</f>
        <v>0</v>
      </c>
      <c r="E333" s="259">
        <f>D333+(D333*'Advanced - Teachers'!AA165)</f>
        <v>0</v>
      </c>
      <c r="F333" s="259">
        <f>E333+(E333*'Advanced - Teachers'!AB165)</f>
        <v>0</v>
      </c>
      <c r="G333" s="259">
        <f>F333+(F333*'Advanced - Teachers'!AC165)</f>
        <v>0</v>
      </c>
      <c r="H333" s="169">
        <f>G333+(G333*'Advanced - Teachers'!AD165)</f>
        <v>0</v>
      </c>
    </row>
    <row r="334" spans="2:8">
      <c r="B334" s="1499"/>
      <c r="C334" s="9">
        <v>10</v>
      </c>
      <c r="D334" s="259">
        <f>E16+('Advanced - Teachers'!Z22*E16)</f>
        <v>0</v>
      </c>
      <c r="E334" s="259">
        <f>D334+(D334*'Advanced - Teachers'!AA166)</f>
        <v>0</v>
      </c>
      <c r="F334" s="259">
        <f>E334+(E334*'Advanced - Teachers'!AB166)</f>
        <v>0</v>
      </c>
      <c r="G334" s="259">
        <f>F334+(F334*'Advanced - Teachers'!AC166)</f>
        <v>0</v>
      </c>
      <c r="H334" s="169">
        <f>G334+(G334*'Advanced - Teachers'!AD166)</f>
        <v>0</v>
      </c>
    </row>
    <row r="335" spans="2:8">
      <c r="B335" s="1499"/>
      <c r="C335" s="9">
        <v>11</v>
      </c>
      <c r="D335" s="259">
        <f>E17+('Advanced - Teachers'!Z23*E17)</f>
        <v>0</v>
      </c>
      <c r="E335" s="259">
        <f>D335+(D335*'Advanced - Teachers'!AA167)</f>
        <v>0</v>
      </c>
      <c r="F335" s="259">
        <f>E335+(E335*'Advanced - Teachers'!AB167)</f>
        <v>0</v>
      </c>
      <c r="G335" s="259">
        <f>F335+(F335*'Advanced - Teachers'!AC167)</f>
        <v>0</v>
      </c>
      <c r="H335" s="169">
        <f>G335+(G335*'Advanced - Teachers'!AD167)</f>
        <v>0</v>
      </c>
    </row>
    <row r="336" spans="2:8">
      <c r="B336" s="1499"/>
      <c r="C336" s="9">
        <v>12</v>
      </c>
      <c r="D336" s="259">
        <f>E18+('Advanced - Teachers'!Z24*E18)</f>
        <v>0</v>
      </c>
      <c r="E336" s="259">
        <f>D336+(D336*'Advanced - Teachers'!AA168)</f>
        <v>0</v>
      </c>
      <c r="F336" s="259">
        <f>E336+(E336*'Advanced - Teachers'!AB168)</f>
        <v>0</v>
      </c>
      <c r="G336" s="259">
        <f>F336+(F336*'Advanced - Teachers'!AC168)</f>
        <v>0</v>
      </c>
      <c r="H336" s="169">
        <f>G336+(G336*'Advanced - Teachers'!AD168)</f>
        <v>0</v>
      </c>
    </row>
    <row r="337" spans="2:8">
      <c r="B337" s="1499"/>
      <c r="C337" s="9">
        <v>13</v>
      </c>
      <c r="D337" s="259">
        <f>E19+('Advanced - Teachers'!Z25*E19)</f>
        <v>0</v>
      </c>
      <c r="E337" s="259">
        <f>D337+(D337*'Advanced - Teachers'!AA169)</f>
        <v>0</v>
      </c>
      <c r="F337" s="259">
        <f>E337+(E337*'Advanced - Teachers'!AB169)</f>
        <v>0</v>
      </c>
      <c r="G337" s="259">
        <f>F337+(F337*'Advanced - Teachers'!AC169)</f>
        <v>0</v>
      </c>
      <c r="H337" s="169">
        <f>G337+(G337*'Advanced - Teachers'!AD169)</f>
        <v>0</v>
      </c>
    </row>
    <row r="338" spans="2:8">
      <c r="B338" s="1499"/>
      <c r="C338" s="9">
        <v>14</v>
      </c>
      <c r="D338" s="259">
        <f>E20+('Advanced - Teachers'!Z26*E20)</f>
        <v>0</v>
      </c>
      <c r="E338" s="259">
        <f>D338+(D338*'Advanced - Teachers'!AA170)</f>
        <v>0</v>
      </c>
      <c r="F338" s="259">
        <f>E338+(E338*'Advanced - Teachers'!AB170)</f>
        <v>0</v>
      </c>
      <c r="G338" s="259">
        <f>F338+(F338*'Advanced - Teachers'!AC170)</f>
        <v>0</v>
      </c>
      <c r="H338" s="169">
        <f>G338+(G338*'Advanced - Teachers'!AD170)</f>
        <v>0</v>
      </c>
    </row>
    <row r="339" spans="2:8">
      <c r="B339" s="1499"/>
      <c r="C339" s="9">
        <v>15</v>
      </c>
      <c r="D339" s="259">
        <f>E21+('Advanced - Teachers'!Z27*E21)</f>
        <v>0</v>
      </c>
      <c r="E339" s="259">
        <f>D339+(D339*'Advanced - Teachers'!AA171)</f>
        <v>0</v>
      </c>
      <c r="F339" s="259">
        <f>E339+(E339*'Advanced - Teachers'!AB171)</f>
        <v>0</v>
      </c>
      <c r="G339" s="259">
        <f>F339+(F339*'Advanced - Teachers'!AC171)</f>
        <v>0</v>
      </c>
      <c r="H339" s="169">
        <f>G339+(G339*'Advanced - Teachers'!AD171)</f>
        <v>0</v>
      </c>
    </row>
    <row r="340" spans="2:8">
      <c r="B340" s="1499"/>
      <c r="C340" s="9">
        <v>16</v>
      </c>
      <c r="D340" s="259">
        <f>E22+('Advanced - Teachers'!Z28*E22)</f>
        <v>0</v>
      </c>
      <c r="E340" s="259">
        <f>D340+(D340*'Advanced - Teachers'!AA172)</f>
        <v>0</v>
      </c>
      <c r="F340" s="259">
        <f>E340+(E340*'Advanced - Teachers'!AB172)</f>
        <v>0</v>
      </c>
      <c r="G340" s="259">
        <f>F340+(F340*'Advanced - Teachers'!AC172)</f>
        <v>0</v>
      </c>
      <c r="H340" s="169">
        <f>G340+(G340*'Advanced - Teachers'!AD172)</f>
        <v>0</v>
      </c>
    </row>
    <row r="341" spans="2:8">
      <c r="B341" s="1499"/>
      <c r="C341" s="9">
        <v>17</v>
      </c>
      <c r="D341" s="259">
        <f>E23+('Advanced - Teachers'!Z29*E23)</f>
        <v>0</v>
      </c>
      <c r="E341" s="259">
        <f>D341+(D341*'Advanced - Teachers'!AA173)</f>
        <v>0</v>
      </c>
      <c r="F341" s="259">
        <f>E341+(E341*'Advanced - Teachers'!AB173)</f>
        <v>0</v>
      </c>
      <c r="G341" s="259">
        <f>F341+(F341*'Advanced - Teachers'!AC173)</f>
        <v>0</v>
      </c>
      <c r="H341" s="169">
        <f>G341+(G341*'Advanced - Teachers'!AD173)</f>
        <v>0</v>
      </c>
    </row>
    <row r="342" spans="2:8">
      <c r="B342" s="1499"/>
      <c r="C342" s="9">
        <v>18</v>
      </c>
      <c r="D342" s="259">
        <f>E24+('Advanced - Teachers'!Z30*E24)</f>
        <v>0</v>
      </c>
      <c r="E342" s="259">
        <f>D342+(D342*'Advanced - Teachers'!AA174)</f>
        <v>0</v>
      </c>
      <c r="F342" s="259">
        <f>E342+(E342*'Advanced - Teachers'!AB174)</f>
        <v>0</v>
      </c>
      <c r="G342" s="259">
        <f>F342+(F342*'Advanced - Teachers'!AC174)</f>
        <v>0</v>
      </c>
      <c r="H342" s="169">
        <f>G342+(G342*'Advanced - Teachers'!AD174)</f>
        <v>0</v>
      </c>
    </row>
    <row r="343" spans="2:8">
      <c r="B343" s="1499"/>
      <c r="C343" s="9">
        <v>19</v>
      </c>
      <c r="D343" s="259">
        <f>E25+('Advanced - Teachers'!Z31*E25)</f>
        <v>0</v>
      </c>
      <c r="E343" s="259">
        <f>D343+(D343*'Advanced - Teachers'!AA175)</f>
        <v>0</v>
      </c>
      <c r="F343" s="259">
        <f>E343+(E343*'Advanced - Teachers'!AB175)</f>
        <v>0</v>
      </c>
      <c r="G343" s="259">
        <f>F343+(F343*'Advanced - Teachers'!AC175)</f>
        <v>0</v>
      </c>
      <c r="H343" s="169">
        <f>G343+(G343*'Advanced - Teachers'!AD175)</f>
        <v>0</v>
      </c>
    </row>
    <row r="344" spans="2:8">
      <c r="B344" s="1499"/>
      <c r="C344" s="9">
        <v>20</v>
      </c>
      <c r="D344" s="259">
        <f>E26+('Advanced - Teachers'!Z32*E26)</f>
        <v>0</v>
      </c>
      <c r="E344" s="259">
        <f>D344+(D344*'Advanced - Teachers'!AA176)</f>
        <v>0</v>
      </c>
      <c r="F344" s="259">
        <f>E344+(E344*'Advanced - Teachers'!AB176)</f>
        <v>0</v>
      </c>
      <c r="G344" s="259">
        <f>F344+(F344*'Advanced - Teachers'!AC176)</f>
        <v>0</v>
      </c>
      <c r="H344" s="169">
        <f>G344+(G344*'Advanced - Teachers'!AD176)</f>
        <v>0</v>
      </c>
    </row>
    <row r="345" spans="2:8">
      <c r="B345" s="1499"/>
      <c r="C345" s="9">
        <v>21</v>
      </c>
      <c r="D345" s="259">
        <f>E27+('Advanced - Teachers'!Z33*E27)</f>
        <v>0</v>
      </c>
      <c r="E345" s="259">
        <f>D345+(D345*'Advanced - Teachers'!AA177)</f>
        <v>0</v>
      </c>
      <c r="F345" s="259">
        <f>E345+(E345*'Advanced - Teachers'!AB177)</f>
        <v>0</v>
      </c>
      <c r="G345" s="259">
        <f>F345+(F345*'Advanced - Teachers'!AC177)</f>
        <v>0</v>
      </c>
      <c r="H345" s="169">
        <f>G345+(G345*'Advanced - Teachers'!AD177)</f>
        <v>0</v>
      </c>
    </row>
    <row r="346" spans="2:8">
      <c r="B346" s="1499"/>
      <c r="C346" s="9">
        <v>22</v>
      </c>
      <c r="D346" s="259">
        <f>E28+('Advanced - Teachers'!Z34*E28)</f>
        <v>0</v>
      </c>
      <c r="E346" s="259">
        <f>D346+(D346*'Advanced - Teachers'!AA178)</f>
        <v>0</v>
      </c>
      <c r="F346" s="259">
        <f>E346+(E346*'Advanced - Teachers'!AB178)</f>
        <v>0</v>
      </c>
      <c r="G346" s="259">
        <f>F346+(F346*'Advanced - Teachers'!AC178)</f>
        <v>0</v>
      </c>
      <c r="H346" s="169">
        <f>G346+(G346*'Advanced - Teachers'!AD178)</f>
        <v>0</v>
      </c>
    </row>
    <row r="347" spans="2:8">
      <c r="B347" s="1499"/>
      <c r="C347" s="9">
        <v>23</v>
      </c>
      <c r="D347" s="259">
        <f>E29+('Advanced - Teachers'!Z35*E29)</f>
        <v>0</v>
      </c>
      <c r="E347" s="259">
        <f>D347+(D347*'Advanced - Teachers'!AA179)</f>
        <v>0</v>
      </c>
      <c r="F347" s="259">
        <f>E347+(E347*'Advanced - Teachers'!AB179)</f>
        <v>0</v>
      </c>
      <c r="G347" s="259">
        <f>F347+(F347*'Advanced - Teachers'!AC179)</f>
        <v>0</v>
      </c>
      <c r="H347" s="169">
        <f>G347+(G347*'Advanced - Teachers'!AD179)</f>
        <v>0</v>
      </c>
    </row>
    <row r="348" spans="2:8">
      <c r="B348" s="1499"/>
      <c r="C348" s="9">
        <v>24</v>
      </c>
      <c r="D348" s="259">
        <f>E30+('Advanced - Teachers'!Z36*E30)</f>
        <v>0</v>
      </c>
      <c r="E348" s="259">
        <f>D348+(D348*'Advanced - Teachers'!AA180)</f>
        <v>0</v>
      </c>
      <c r="F348" s="259">
        <f>E348+(E348*'Advanced - Teachers'!AB180)</f>
        <v>0</v>
      </c>
      <c r="G348" s="259">
        <f>F348+(F348*'Advanced - Teachers'!AC180)</f>
        <v>0</v>
      </c>
      <c r="H348" s="169">
        <f>G348+(G348*'Advanced - Teachers'!AD180)</f>
        <v>0</v>
      </c>
    </row>
    <row r="349" spans="2:8">
      <c r="B349" s="1499"/>
      <c r="C349" s="9">
        <v>25</v>
      </c>
      <c r="D349" s="259">
        <f>E31+('Advanced - Teachers'!Z37*E31)</f>
        <v>0</v>
      </c>
      <c r="E349" s="259">
        <f>D349+(D349*'Advanced - Teachers'!AA181)</f>
        <v>0</v>
      </c>
      <c r="F349" s="259">
        <f>E349+(E349*'Advanced - Teachers'!AB181)</f>
        <v>0</v>
      </c>
      <c r="G349" s="259">
        <f>F349+(F349*'Advanced - Teachers'!AC181)</f>
        <v>0</v>
      </c>
      <c r="H349" s="169">
        <f>G349+(G349*'Advanced - Teachers'!AD181)</f>
        <v>0</v>
      </c>
    </row>
    <row r="350" spans="2:8">
      <c r="B350" s="1499"/>
      <c r="C350" s="9">
        <v>26</v>
      </c>
      <c r="D350" s="259">
        <f>E32+('Advanced - Teachers'!Z38*E32)</f>
        <v>0</v>
      </c>
      <c r="E350" s="259">
        <f>D350+(D350*'Advanced - Teachers'!AA182)</f>
        <v>0</v>
      </c>
      <c r="F350" s="259">
        <f>E350+(E350*'Advanced - Teachers'!AB182)</f>
        <v>0</v>
      </c>
      <c r="G350" s="259">
        <f>F350+(F350*'Advanced - Teachers'!AC182)</f>
        <v>0</v>
      </c>
      <c r="H350" s="169">
        <f>G350+(G350*'Advanced - Teachers'!AD182)</f>
        <v>0</v>
      </c>
    </row>
    <row r="351" spans="2:8">
      <c r="B351" s="1499"/>
      <c r="C351" s="9">
        <v>27</v>
      </c>
      <c r="D351" s="259">
        <f>E33+('Advanced - Teachers'!Z39*E33)</f>
        <v>0</v>
      </c>
      <c r="E351" s="259">
        <f>D351+(D351*'Advanced - Teachers'!AA183)</f>
        <v>0</v>
      </c>
      <c r="F351" s="259">
        <f>E351+(E351*'Advanced - Teachers'!AB183)</f>
        <v>0</v>
      </c>
      <c r="G351" s="259">
        <f>F351+(F351*'Advanced - Teachers'!AC183)</f>
        <v>0</v>
      </c>
      <c r="H351" s="169">
        <f>G351+(G351*'Advanced - Teachers'!AD183)</f>
        <v>0</v>
      </c>
    </row>
    <row r="352" spans="2:8">
      <c r="B352" s="1499"/>
      <c r="C352" s="9">
        <v>28</v>
      </c>
      <c r="D352" s="259">
        <f>E34+('Advanced - Teachers'!Z40*E34)</f>
        <v>0</v>
      </c>
      <c r="E352" s="259">
        <f>D352+(D352*'Advanced - Teachers'!AA184)</f>
        <v>0</v>
      </c>
      <c r="F352" s="259">
        <f>E352+(E352*'Advanced - Teachers'!AB184)</f>
        <v>0</v>
      </c>
      <c r="G352" s="259">
        <f>F352+(F352*'Advanced - Teachers'!AC184)</f>
        <v>0</v>
      </c>
      <c r="H352" s="169">
        <f>G352+(G352*'Advanced - Teachers'!AD184)</f>
        <v>0</v>
      </c>
    </row>
    <row r="353" spans="2:8">
      <c r="B353" s="1499"/>
      <c r="C353" s="9">
        <v>29</v>
      </c>
      <c r="D353" s="259">
        <f>E35+('Advanced - Teachers'!Z41*E35)</f>
        <v>0</v>
      </c>
      <c r="E353" s="259">
        <f>D353+(D353*'Advanced - Teachers'!AA185)</f>
        <v>0</v>
      </c>
      <c r="F353" s="259">
        <f>E353+(E353*'Advanced - Teachers'!AB185)</f>
        <v>0</v>
      </c>
      <c r="G353" s="259">
        <f>F353+(F353*'Advanced - Teachers'!AC185)</f>
        <v>0</v>
      </c>
      <c r="H353" s="169">
        <f>G353+(G353*'Advanced - Teachers'!AD185)</f>
        <v>0</v>
      </c>
    </row>
    <row r="354" spans="2:8" ht="15" thickBot="1">
      <c r="B354" s="1500"/>
      <c r="C354" s="337">
        <v>30</v>
      </c>
      <c r="D354" s="347">
        <f>E36+('Advanced - Teachers'!Z42*E36)</f>
        <v>0</v>
      </c>
      <c r="E354" s="347">
        <f>D354+(D354*'Advanced - Teachers'!AA186)</f>
        <v>0</v>
      </c>
      <c r="F354" s="347">
        <f>E354+(E354*'Advanced - Teachers'!AB186)</f>
        <v>0</v>
      </c>
      <c r="G354" s="347">
        <f>F354+(F354*'Advanced - Teachers'!AC186)</f>
        <v>0</v>
      </c>
      <c r="H354" s="68">
        <f>G354+(G354*'Advanced - Teachers'!AD186)</f>
        <v>0</v>
      </c>
    </row>
    <row r="355" spans="2:8" ht="15" thickBot="1"/>
    <row r="356" spans="2:8" ht="15" thickBot="1">
      <c r="B356" s="1498" t="s">
        <v>509</v>
      </c>
      <c r="C356" s="93"/>
      <c r="D356" s="1466" t="s">
        <v>510</v>
      </c>
      <c r="E356" s="1466"/>
      <c r="F356" s="1466"/>
      <c r="G356" s="1466"/>
      <c r="H356" s="1467"/>
    </row>
    <row r="357" spans="2:8">
      <c r="B357" s="1499"/>
      <c r="C357" s="152" t="s">
        <v>169</v>
      </c>
      <c r="D357" s="154" t="s">
        <v>170</v>
      </c>
      <c r="E357" s="154" t="s">
        <v>171</v>
      </c>
      <c r="F357" s="154" t="s">
        <v>172</v>
      </c>
      <c r="G357" s="154" t="s">
        <v>173</v>
      </c>
      <c r="H357" s="157" t="s">
        <v>174</v>
      </c>
    </row>
    <row r="358" spans="2:8">
      <c r="B358" s="1499"/>
      <c r="C358" s="153">
        <v>0</v>
      </c>
      <c r="D358" s="259">
        <f t="shared" ref="D358:D388" si="42">D324-E6</f>
        <v>0</v>
      </c>
      <c r="E358" s="259">
        <f t="shared" ref="E358:E388" si="43">E324-E6</f>
        <v>0</v>
      </c>
      <c r="F358" s="259">
        <f t="shared" ref="F358:F388" si="44">F324-E6</f>
        <v>0</v>
      </c>
      <c r="G358" s="259">
        <f t="shared" ref="G358:G388" si="45">G324-E6</f>
        <v>0</v>
      </c>
      <c r="H358" s="169">
        <f t="shared" ref="H358:H388" si="46">H324-E6</f>
        <v>0</v>
      </c>
    </row>
    <row r="359" spans="2:8">
      <c r="B359" s="1499"/>
      <c r="C359" s="153">
        <v>1</v>
      </c>
      <c r="D359" s="259">
        <f t="shared" si="42"/>
        <v>0</v>
      </c>
      <c r="E359" s="259">
        <f t="shared" si="43"/>
        <v>0</v>
      </c>
      <c r="F359" s="259">
        <f t="shared" si="44"/>
        <v>0</v>
      </c>
      <c r="G359" s="259">
        <f t="shared" si="45"/>
        <v>0</v>
      </c>
      <c r="H359" s="169">
        <f t="shared" si="46"/>
        <v>0</v>
      </c>
    </row>
    <row r="360" spans="2:8">
      <c r="B360" s="1499"/>
      <c r="C360" s="153">
        <v>2</v>
      </c>
      <c r="D360" s="259">
        <f t="shared" si="42"/>
        <v>0</v>
      </c>
      <c r="E360" s="259">
        <f t="shared" si="43"/>
        <v>0</v>
      </c>
      <c r="F360" s="259">
        <f t="shared" si="44"/>
        <v>0</v>
      </c>
      <c r="G360" s="259">
        <f t="shared" si="45"/>
        <v>0</v>
      </c>
      <c r="H360" s="169">
        <f t="shared" si="46"/>
        <v>0</v>
      </c>
    </row>
    <row r="361" spans="2:8">
      <c r="B361" s="1499"/>
      <c r="C361" s="153">
        <v>3</v>
      </c>
      <c r="D361" s="259">
        <f t="shared" si="42"/>
        <v>0</v>
      </c>
      <c r="E361" s="259">
        <f t="shared" si="43"/>
        <v>0</v>
      </c>
      <c r="F361" s="259">
        <f t="shared" si="44"/>
        <v>0</v>
      </c>
      <c r="G361" s="259">
        <f t="shared" si="45"/>
        <v>0</v>
      </c>
      <c r="H361" s="169">
        <f t="shared" si="46"/>
        <v>0</v>
      </c>
    </row>
    <row r="362" spans="2:8">
      <c r="B362" s="1499"/>
      <c r="C362" s="153">
        <v>4</v>
      </c>
      <c r="D362" s="259">
        <f t="shared" si="42"/>
        <v>0</v>
      </c>
      <c r="E362" s="259">
        <f t="shared" si="43"/>
        <v>0</v>
      </c>
      <c r="F362" s="259">
        <f t="shared" si="44"/>
        <v>0</v>
      </c>
      <c r="G362" s="259">
        <f t="shared" si="45"/>
        <v>0</v>
      </c>
      <c r="H362" s="169">
        <f t="shared" si="46"/>
        <v>0</v>
      </c>
    </row>
    <row r="363" spans="2:8">
      <c r="B363" s="1499"/>
      <c r="C363" s="153">
        <v>5</v>
      </c>
      <c r="D363" s="259">
        <f t="shared" si="42"/>
        <v>0</v>
      </c>
      <c r="E363" s="259">
        <f t="shared" si="43"/>
        <v>0</v>
      </c>
      <c r="F363" s="259">
        <f t="shared" si="44"/>
        <v>0</v>
      </c>
      <c r="G363" s="259">
        <f t="shared" si="45"/>
        <v>0</v>
      </c>
      <c r="H363" s="169">
        <f t="shared" si="46"/>
        <v>0</v>
      </c>
    </row>
    <row r="364" spans="2:8">
      <c r="B364" s="1499"/>
      <c r="C364" s="153">
        <v>6</v>
      </c>
      <c r="D364" s="259">
        <f t="shared" si="42"/>
        <v>0</v>
      </c>
      <c r="E364" s="259">
        <f t="shared" si="43"/>
        <v>0</v>
      </c>
      <c r="F364" s="259">
        <f t="shared" si="44"/>
        <v>0</v>
      </c>
      <c r="G364" s="259">
        <f t="shared" si="45"/>
        <v>0</v>
      </c>
      <c r="H364" s="169">
        <f t="shared" si="46"/>
        <v>0</v>
      </c>
    </row>
    <row r="365" spans="2:8">
      <c r="B365" s="1499"/>
      <c r="C365" s="153">
        <v>7</v>
      </c>
      <c r="D365" s="259">
        <f t="shared" si="42"/>
        <v>0</v>
      </c>
      <c r="E365" s="259">
        <f t="shared" si="43"/>
        <v>0</v>
      </c>
      <c r="F365" s="259">
        <f t="shared" si="44"/>
        <v>0</v>
      </c>
      <c r="G365" s="259">
        <f t="shared" si="45"/>
        <v>0</v>
      </c>
      <c r="H365" s="169">
        <f t="shared" si="46"/>
        <v>0</v>
      </c>
    </row>
    <row r="366" spans="2:8">
      <c r="B366" s="1499"/>
      <c r="C366" s="153">
        <v>8</v>
      </c>
      <c r="D366" s="259">
        <f t="shared" si="42"/>
        <v>0</v>
      </c>
      <c r="E366" s="259">
        <f t="shared" si="43"/>
        <v>0</v>
      </c>
      <c r="F366" s="259">
        <f t="shared" si="44"/>
        <v>0</v>
      </c>
      <c r="G366" s="259">
        <f t="shared" si="45"/>
        <v>0</v>
      </c>
      <c r="H366" s="169">
        <f t="shared" si="46"/>
        <v>0</v>
      </c>
    </row>
    <row r="367" spans="2:8">
      <c r="B367" s="1499"/>
      <c r="C367" s="153">
        <v>9</v>
      </c>
      <c r="D367" s="259">
        <f t="shared" si="42"/>
        <v>0</v>
      </c>
      <c r="E367" s="259">
        <f t="shared" si="43"/>
        <v>0</v>
      </c>
      <c r="F367" s="259">
        <f t="shared" si="44"/>
        <v>0</v>
      </c>
      <c r="G367" s="259">
        <f t="shared" si="45"/>
        <v>0</v>
      </c>
      <c r="H367" s="169">
        <f t="shared" si="46"/>
        <v>0</v>
      </c>
    </row>
    <row r="368" spans="2:8">
      <c r="B368" s="1499"/>
      <c r="C368" s="153">
        <v>10</v>
      </c>
      <c r="D368" s="259">
        <f t="shared" si="42"/>
        <v>0</v>
      </c>
      <c r="E368" s="259">
        <f t="shared" si="43"/>
        <v>0</v>
      </c>
      <c r="F368" s="259">
        <f t="shared" si="44"/>
        <v>0</v>
      </c>
      <c r="G368" s="259">
        <f t="shared" si="45"/>
        <v>0</v>
      </c>
      <c r="H368" s="169">
        <f t="shared" si="46"/>
        <v>0</v>
      </c>
    </row>
    <row r="369" spans="2:8">
      <c r="B369" s="1499"/>
      <c r="C369" s="153">
        <v>11</v>
      </c>
      <c r="D369" s="259">
        <f t="shared" si="42"/>
        <v>0</v>
      </c>
      <c r="E369" s="259">
        <f t="shared" si="43"/>
        <v>0</v>
      </c>
      <c r="F369" s="259">
        <f t="shared" si="44"/>
        <v>0</v>
      </c>
      <c r="G369" s="259">
        <f t="shared" si="45"/>
        <v>0</v>
      </c>
      <c r="H369" s="169">
        <f t="shared" si="46"/>
        <v>0</v>
      </c>
    </row>
    <row r="370" spans="2:8">
      <c r="B370" s="1499"/>
      <c r="C370" s="153">
        <v>12</v>
      </c>
      <c r="D370" s="259">
        <f t="shared" si="42"/>
        <v>0</v>
      </c>
      <c r="E370" s="259">
        <f t="shared" si="43"/>
        <v>0</v>
      </c>
      <c r="F370" s="259">
        <f t="shared" si="44"/>
        <v>0</v>
      </c>
      <c r="G370" s="259">
        <f t="shared" si="45"/>
        <v>0</v>
      </c>
      <c r="H370" s="169">
        <f t="shared" si="46"/>
        <v>0</v>
      </c>
    </row>
    <row r="371" spans="2:8">
      <c r="B371" s="1499"/>
      <c r="C371" s="153">
        <v>13</v>
      </c>
      <c r="D371" s="259">
        <f t="shared" si="42"/>
        <v>0</v>
      </c>
      <c r="E371" s="259">
        <f t="shared" si="43"/>
        <v>0</v>
      </c>
      <c r="F371" s="259">
        <f t="shared" si="44"/>
        <v>0</v>
      </c>
      <c r="G371" s="259">
        <f t="shared" si="45"/>
        <v>0</v>
      </c>
      <c r="H371" s="169">
        <f t="shared" si="46"/>
        <v>0</v>
      </c>
    </row>
    <row r="372" spans="2:8">
      <c r="B372" s="1499"/>
      <c r="C372" s="153">
        <v>14</v>
      </c>
      <c r="D372" s="259">
        <f t="shared" si="42"/>
        <v>0</v>
      </c>
      <c r="E372" s="259">
        <f t="shared" si="43"/>
        <v>0</v>
      </c>
      <c r="F372" s="259">
        <f t="shared" si="44"/>
        <v>0</v>
      </c>
      <c r="G372" s="259">
        <f t="shared" si="45"/>
        <v>0</v>
      </c>
      <c r="H372" s="169">
        <f t="shared" si="46"/>
        <v>0</v>
      </c>
    </row>
    <row r="373" spans="2:8">
      <c r="B373" s="1499"/>
      <c r="C373" s="153">
        <v>15</v>
      </c>
      <c r="D373" s="259">
        <f t="shared" si="42"/>
        <v>0</v>
      </c>
      <c r="E373" s="259">
        <f t="shared" si="43"/>
        <v>0</v>
      </c>
      <c r="F373" s="259">
        <f t="shared" si="44"/>
        <v>0</v>
      </c>
      <c r="G373" s="259">
        <f t="shared" si="45"/>
        <v>0</v>
      </c>
      <c r="H373" s="169">
        <f t="shared" si="46"/>
        <v>0</v>
      </c>
    </row>
    <row r="374" spans="2:8">
      <c r="B374" s="1499"/>
      <c r="C374" s="153">
        <v>16</v>
      </c>
      <c r="D374" s="259">
        <f t="shared" si="42"/>
        <v>0</v>
      </c>
      <c r="E374" s="259">
        <f t="shared" si="43"/>
        <v>0</v>
      </c>
      <c r="F374" s="259">
        <f t="shared" si="44"/>
        <v>0</v>
      </c>
      <c r="G374" s="259">
        <f t="shared" si="45"/>
        <v>0</v>
      </c>
      <c r="H374" s="169">
        <f t="shared" si="46"/>
        <v>0</v>
      </c>
    </row>
    <row r="375" spans="2:8">
      <c r="B375" s="1499"/>
      <c r="C375" s="153">
        <v>17</v>
      </c>
      <c r="D375" s="259">
        <f t="shared" si="42"/>
        <v>0</v>
      </c>
      <c r="E375" s="259">
        <f t="shared" si="43"/>
        <v>0</v>
      </c>
      <c r="F375" s="259">
        <f t="shared" si="44"/>
        <v>0</v>
      </c>
      <c r="G375" s="259">
        <f t="shared" si="45"/>
        <v>0</v>
      </c>
      <c r="H375" s="169">
        <f t="shared" si="46"/>
        <v>0</v>
      </c>
    </row>
    <row r="376" spans="2:8">
      <c r="B376" s="1499"/>
      <c r="C376" s="153">
        <v>18</v>
      </c>
      <c r="D376" s="259">
        <f t="shared" si="42"/>
        <v>0</v>
      </c>
      <c r="E376" s="259">
        <f t="shared" si="43"/>
        <v>0</v>
      </c>
      <c r="F376" s="259">
        <f t="shared" si="44"/>
        <v>0</v>
      </c>
      <c r="G376" s="259">
        <f t="shared" si="45"/>
        <v>0</v>
      </c>
      <c r="H376" s="169">
        <f t="shared" si="46"/>
        <v>0</v>
      </c>
    </row>
    <row r="377" spans="2:8">
      <c r="B377" s="1499"/>
      <c r="C377" s="153">
        <v>19</v>
      </c>
      <c r="D377" s="259">
        <f t="shared" si="42"/>
        <v>0</v>
      </c>
      <c r="E377" s="259">
        <f t="shared" si="43"/>
        <v>0</v>
      </c>
      <c r="F377" s="259">
        <f t="shared" si="44"/>
        <v>0</v>
      </c>
      <c r="G377" s="259">
        <f t="shared" si="45"/>
        <v>0</v>
      </c>
      <c r="H377" s="169">
        <f t="shared" si="46"/>
        <v>0</v>
      </c>
    </row>
    <row r="378" spans="2:8">
      <c r="B378" s="1499"/>
      <c r="C378" s="153">
        <v>20</v>
      </c>
      <c r="D378" s="259">
        <f t="shared" si="42"/>
        <v>0</v>
      </c>
      <c r="E378" s="259">
        <f t="shared" si="43"/>
        <v>0</v>
      </c>
      <c r="F378" s="259">
        <f t="shared" si="44"/>
        <v>0</v>
      </c>
      <c r="G378" s="259">
        <f t="shared" si="45"/>
        <v>0</v>
      </c>
      <c r="H378" s="169">
        <f t="shared" si="46"/>
        <v>0</v>
      </c>
    </row>
    <row r="379" spans="2:8">
      <c r="B379" s="1499"/>
      <c r="C379" s="153">
        <v>21</v>
      </c>
      <c r="D379" s="259">
        <f t="shared" si="42"/>
        <v>0</v>
      </c>
      <c r="E379" s="259">
        <f t="shared" si="43"/>
        <v>0</v>
      </c>
      <c r="F379" s="259">
        <f t="shared" si="44"/>
        <v>0</v>
      </c>
      <c r="G379" s="259">
        <f t="shared" si="45"/>
        <v>0</v>
      </c>
      <c r="H379" s="169">
        <f t="shared" si="46"/>
        <v>0</v>
      </c>
    </row>
    <row r="380" spans="2:8">
      <c r="B380" s="1499"/>
      <c r="C380" s="153">
        <v>22</v>
      </c>
      <c r="D380" s="259">
        <f t="shared" si="42"/>
        <v>0</v>
      </c>
      <c r="E380" s="259">
        <f t="shared" si="43"/>
        <v>0</v>
      </c>
      <c r="F380" s="259">
        <f t="shared" si="44"/>
        <v>0</v>
      </c>
      <c r="G380" s="259">
        <f t="shared" si="45"/>
        <v>0</v>
      </c>
      <c r="H380" s="169">
        <f t="shared" si="46"/>
        <v>0</v>
      </c>
    </row>
    <row r="381" spans="2:8">
      <c r="B381" s="1499"/>
      <c r="C381" s="153">
        <v>23</v>
      </c>
      <c r="D381" s="259">
        <f t="shared" si="42"/>
        <v>0</v>
      </c>
      <c r="E381" s="259">
        <f t="shared" si="43"/>
        <v>0</v>
      </c>
      <c r="F381" s="259">
        <f t="shared" si="44"/>
        <v>0</v>
      </c>
      <c r="G381" s="259">
        <f t="shared" si="45"/>
        <v>0</v>
      </c>
      <c r="H381" s="169">
        <f t="shared" si="46"/>
        <v>0</v>
      </c>
    </row>
    <row r="382" spans="2:8">
      <c r="B382" s="1499"/>
      <c r="C382" s="153">
        <v>24</v>
      </c>
      <c r="D382" s="259">
        <f t="shared" si="42"/>
        <v>0</v>
      </c>
      <c r="E382" s="259">
        <f t="shared" si="43"/>
        <v>0</v>
      </c>
      <c r="F382" s="259">
        <f t="shared" si="44"/>
        <v>0</v>
      </c>
      <c r="G382" s="259">
        <f t="shared" si="45"/>
        <v>0</v>
      </c>
      <c r="H382" s="169">
        <f t="shared" si="46"/>
        <v>0</v>
      </c>
    </row>
    <row r="383" spans="2:8">
      <c r="B383" s="1499"/>
      <c r="C383" s="153">
        <v>25</v>
      </c>
      <c r="D383" s="259">
        <f t="shared" si="42"/>
        <v>0</v>
      </c>
      <c r="E383" s="259">
        <f t="shared" si="43"/>
        <v>0</v>
      </c>
      <c r="F383" s="259">
        <f t="shared" si="44"/>
        <v>0</v>
      </c>
      <c r="G383" s="259">
        <f t="shared" si="45"/>
        <v>0</v>
      </c>
      <c r="H383" s="169">
        <f t="shared" si="46"/>
        <v>0</v>
      </c>
    </row>
    <row r="384" spans="2:8">
      <c r="B384" s="1499"/>
      <c r="C384" s="153">
        <v>26</v>
      </c>
      <c r="D384" s="259">
        <f t="shared" si="42"/>
        <v>0</v>
      </c>
      <c r="E384" s="259">
        <f t="shared" si="43"/>
        <v>0</v>
      </c>
      <c r="F384" s="259">
        <f t="shared" si="44"/>
        <v>0</v>
      </c>
      <c r="G384" s="259">
        <f t="shared" si="45"/>
        <v>0</v>
      </c>
      <c r="H384" s="169">
        <f t="shared" si="46"/>
        <v>0</v>
      </c>
    </row>
    <row r="385" spans="2:8">
      <c r="B385" s="1499"/>
      <c r="C385" s="153">
        <v>27</v>
      </c>
      <c r="D385" s="259">
        <f t="shared" si="42"/>
        <v>0</v>
      </c>
      <c r="E385" s="259">
        <f t="shared" si="43"/>
        <v>0</v>
      </c>
      <c r="F385" s="259">
        <f t="shared" si="44"/>
        <v>0</v>
      </c>
      <c r="G385" s="259">
        <f t="shared" si="45"/>
        <v>0</v>
      </c>
      <c r="H385" s="169">
        <f t="shared" si="46"/>
        <v>0</v>
      </c>
    </row>
    <row r="386" spans="2:8">
      <c r="B386" s="1499"/>
      <c r="C386" s="153">
        <v>28</v>
      </c>
      <c r="D386" s="259">
        <f t="shared" si="42"/>
        <v>0</v>
      </c>
      <c r="E386" s="259">
        <f t="shared" si="43"/>
        <v>0</v>
      </c>
      <c r="F386" s="259">
        <f t="shared" si="44"/>
        <v>0</v>
      </c>
      <c r="G386" s="259">
        <f t="shared" si="45"/>
        <v>0</v>
      </c>
      <c r="H386" s="169">
        <f t="shared" si="46"/>
        <v>0</v>
      </c>
    </row>
    <row r="387" spans="2:8">
      <c r="B387" s="1499"/>
      <c r="C387" s="153">
        <v>29</v>
      </c>
      <c r="D387" s="259">
        <f t="shared" si="42"/>
        <v>0</v>
      </c>
      <c r="E387" s="259">
        <f t="shared" si="43"/>
        <v>0</v>
      </c>
      <c r="F387" s="259">
        <f t="shared" si="44"/>
        <v>0</v>
      </c>
      <c r="G387" s="259">
        <f t="shared" si="45"/>
        <v>0</v>
      </c>
      <c r="H387" s="169">
        <f t="shared" si="46"/>
        <v>0</v>
      </c>
    </row>
    <row r="388" spans="2:8" ht="15" thickBot="1">
      <c r="B388" s="1500"/>
      <c r="C388" s="90">
        <v>30</v>
      </c>
      <c r="D388" s="347">
        <f t="shared" si="42"/>
        <v>0</v>
      </c>
      <c r="E388" s="347">
        <f t="shared" si="43"/>
        <v>0</v>
      </c>
      <c r="F388" s="347">
        <f t="shared" si="44"/>
        <v>0</v>
      </c>
      <c r="G388" s="347">
        <f t="shared" si="45"/>
        <v>0</v>
      </c>
      <c r="H388" s="68">
        <f t="shared" si="46"/>
        <v>0</v>
      </c>
    </row>
    <row r="389" spans="2:8" ht="15" thickBot="1"/>
    <row r="390" spans="2:8" ht="15" thickBot="1">
      <c r="B390" s="1498" t="s">
        <v>509</v>
      </c>
      <c r="C390" s="123"/>
      <c r="D390" s="1466" t="s">
        <v>505</v>
      </c>
      <c r="E390" s="1466"/>
      <c r="F390" s="1466"/>
      <c r="G390" s="1466"/>
      <c r="H390" s="1467"/>
    </row>
    <row r="391" spans="2:8">
      <c r="B391" s="1499"/>
      <c r="C391" s="160" t="s">
        <v>169</v>
      </c>
      <c r="D391" s="154" t="s">
        <v>170</v>
      </c>
      <c r="E391" s="154" t="s">
        <v>171</v>
      </c>
      <c r="F391" s="154" t="s">
        <v>172</v>
      </c>
      <c r="G391" s="154" t="s">
        <v>173</v>
      </c>
      <c r="H391" s="157" t="s">
        <v>174</v>
      </c>
    </row>
    <row r="392" spans="2:8">
      <c r="B392" s="1499"/>
      <c r="C392" s="9">
        <v>0</v>
      </c>
      <c r="D392" s="259">
        <f t="shared" ref="D392:D422" si="47">D358*D6</f>
        <v>0</v>
      </c>
      <c r="E392" s="259">
        <f t="shared" ref="E392:E422" si="48">E358*D6</f>
        <v>0</v>
      </c>
      <c r="F392" s="259">
        <f t="shared" ref="F392:F422" si="49">F358*D6</f>
        <v>0</v>
      </c>
      <c r="G392" s="259">
        <f t="shared" ref="G392:G422" si="50">G358*D6</f>
        <v>0</v>
      </c>
      <c r="H392" s="169">
        <f t="shared" ref="H392:H422" si="51">H358*D6</f>
        <v>0</v>
      </c>
    </row>
    <row r="393" spans="2:8">
      <c r="B393" s="1499"/>
      <c r="C393" s="9">
        <v>1</v>
      </c>
      <c r="D393" s="259">
        <f t="shared" si="47"/>
        <v>0</v>
      </c>
      <c r="E393" s="259">
        <f t="shared" si="48"/>
        <v>0</v>
      </c>
      <c r="F393" s="259">
        <f t="shared" si="49"/>
        <v>0</v>
      </c>
      <c r="G393" s="259">
        <f t="shared" si="50"/>
        <v>0</v>
      </c>
      <c r="H393" s="169">
        <f t="shared" si="51"/>
        <v>0</v>
      </c>
    </row>
    <row r="394" spans="2:8">
      <c r="B394" s="1499"/>
      <c r="C394" s="9">
        <v>2</v>
      </c>
      <c r="D394" s="259">
        <f t="shared" si="47"/>
        <v>0</v>
      </c>
      <c r="E394" s="259">
        <f t="shared" si="48"/>
        <v>0</v>
      </c>
      <c r="F394" s="259">
        <f t="shared" si="49"/>
        <v>0</v>
      </c>
      <c r="G394" s="259">
        <f t="shared" si="50"/>
        <v>0</v>
      </c>
      <c r="H394" s="169">
        <f t="shared" si="51"/>
        <v>0</v>
      </c>
    </row>
    <row r="395" spans="2:8">
      <c r="B395" s="1499"/>
      <c r="C395" s="9">
        <v>3</v>
      </c>
      <c r="D395" s="259">
        <f t="shared" si="47"/>
        <v>0</v>
      </c>
      <c r="E395" s="259">
        <f t="shared" si="48"/>
        <v>0</v>
      </c>
      <c r="F395" s="259">
        <f t="shared" si="49"/>
        <v>0</v>
      </c>
      <c r="G395" s="259">
        <f t="shared" si="50"/>
        <v>0</v>
      </c>
      <c r="H395" s="169">
        <f t="shared" si="51"/>
        <v>0</v>
      </c>
    </row>
    <row r="396" spans="2:8">
      <c r="B396" s="1499"/>
      <c r="C396" s="9">
        <v>4</v>
      </c>
      <c r="D396" s="259">
        <f t="shared" si="47"/>
        <v>0</v>
      </c>
      <c r="E396" s="259">
        <f t="shared" si="48"/>
        <v>0</v>
      </c>
      <c r="F396" s="259">
        <f t="shared" si="49"/>
        <v>0</v>
      </c>
      <c r="G396" s="259">
        <f t="shared" si="50"/>
        <v>0</v>
      </c>
      <c r="H396" s="169">
        <f t="shared" si="51"/>
        <v>0</v>
      </c>
    </row>
    <row r="397" spans="2:8">
      <c r="B397" s="1499"/>
      <c r="C397" s="9">
        <v>5</v>
      </c>
      <c r="D397" s="259">
        <f t="shared" si="47"/>
        <v>0</v>
      </c>
      <c r="E397" s="259">
        <f t="shared" si="48"/>
        <v>0</v>
      </c>
      <c r="F397" s="259">
        <f t="shared" si="49"/>
        <v>0</v>
      </c>
      <c r="G397" s="259">
        <f t="shared" si="50"/>
        <v>0</v>
      </c>
      <c r="H397" s="169">
        <f t="shared" si="51"/>
        <v>0</v>
      </c>
    </row>
    <row r="398" spans="2:8">
      <c r="B398" s="1499"/>
      <c r="C398" s="9">
        <v>6</v>
      </c>
      <c r="D398" s="259">
        <f t="shared" si="47"/>
        <v>0</v>
      </c>
      <c r="E398" s="259">
        <f t="shared" si="48"/>
        <v>0</v>
      </c>
      <c r="F398" s="259">
        <f t="shared" si="49"/>
        <v>0</v>
      </c>
      <c r="G398" s="259">
        <f t="shared" si="50"/>
        <v>0</v>
      </c>
      <c r="H398" s="169">
        <f t="shared" si="51"/>
        <v>0</v>
      </c>
    </row>
    <row r="399" spans="2:8">
      <c r="B399" s="1499"/>
      <c r="C399" s="9">
        <v>7</v>
      </c>
      <c r="D399" s="259">
        <f t="shared" si="47"/>
        <v>0</v>
      </c>
      <c r="E399" s="259">
        <f t="shared" si="48"/>
        <v>0</v>
      </c>
      <c r="F399" s="259">
        <f t="shared" si="49"/>
        <v>0</v>
      </c>
      <c r="G399" s="259">
        <f t="shared" si="50"/>
        <v>0</v>
      </c>
      <c r="H399" s="169">
        <f t="shared" si="51"/>
        <v>0</v>
      </c>
    </row>
    <row r="400" spans="2:8">
      <c r="B400" s="1499"/>
      <c r="C400" s="9">
        <v>8</v>
      </c>
      <c r="D400" s="259">
        <f t="shared" si="47"/>
        <v>0</v>
      </c>
      <c r="E400" s="259">
        <f t="shared" si="48"/>
        <v>0</v>
      </c>
      <c r="F400" s="259">
        <f t="shared" si="49"/>
        <v>0</v>
      </c>
      <c r="G400" s="259">
        <f t="shared" si="50"/>
        <v>0</v>
      </c>
      <c r="H400" s="169">
        <f t="shared" si="51"/>
        <v>0</v>
      </c>
    </row>
    <row r="401" spans="2:8">
      <c r="B401" s="1499"/>
      <c r="C401" s="9">
        <v>9</v>
      </c>
      <c r="D401" s="259">
        <f t="shared" si="47"/>
        <v>0</v>
      </c>
      <c r="E401" s="259">
        <f t="shared" si="48"/>
        <v>0</v>
      </c>
      <c r="F401" s="259">
        <f t="shared" si="49"/>
        <v>0</v>
      </c>
      <c r="G401" s="259">
        <f t="shared" si="50"/>
        <v>0</v>
      </c>
      <c r="H401" s="169">
        <f t="shared" si="51"/>
        <v>0</v>
      </c>
    </row>
    <row r="402" spans="2:8">
      <c r="B402" s="1499"/>
      <c r="C402" s="9">
        <v>10</v>
      </c>
      <c r="D402" s="259">
        <f t="shared" si="47"/>
        <v>0</v>
      </c>
      <c r="E402" s="259">
        <f t="shared" si="48"/>
        <v>0</v>
      </c>
      <c r="F402" s="259">
        <f t="shared" si="49"/>
        <v>0</v>
      </c>
      <c r="G402" s="259">
        <f t="shared" si="50"/>
        <v>0</v>
      </c>
      <c r="H402" s="169">
        <f t="shared" si="51"/>
        <v>0</v>
      </c>
    </row>
    <row r="403" spans="2:8">
      <c r="B403" s="1499"/>
      <c r="C403" s="9">
        <v>11</v>
      </c>
      <c r="D403" s="259">
        <f t="shared" si="47"/>
        <v>0</v>
      </c>
      <c r="E403" s="259">
        <f t="shared" si="48"/>
        <v>0</v>
      </c>
      <c r="F403" s="259">
        <f t="shared" si="49"/>
        <v>0</v>
      </c>
      <c r="G403" s="259">
        <f t="shared" si="50"/>
        <v>0</v>
      </c>
      <c r="H403" s="169">
        <f t="shared" si="51"/>
        <v>0</v>
      </c>
    </row>
    <row r="404" spans="2:8">
      <c r="B404" s="1499"/>
      <c r="C404" s="9">
        <v>12</v>
      </c>
      <c r="D404" s="259">
        <f t="shared" si="47"/>
        <v>0</v>
      </c>
      <c r="E404" s="259">
        <f t="shared" si="48"/>
        <v>0</v>
      </c>
      <c r="F404" s="259">
        <f t="shared" si="49"/>
        <v>0</v>
      </c>
      <c r="G404" s="259">
        <f t="shared" si="50"/>
        <v>0</v>
      </c>
      <c r="H404" s="169">
        <f t="shared" si="51"/>
        <v>0</v>
      </c>
    </row>
    <row r="405" spans="2:8">
      <c r="B405" s="1499"/>
      <c r="C405" s="9">
        <v>13</v>
      </c>
      <c r="D405" s="259">
        <f t="shared" si="47"/>
        <v>0</v>
      </c>
      <c r="E405" s="259">
        <f t="shared" si="48"/>
        <v>0</v>
      </c>
      <c r="F405" s="259">
        <f t="shared" si="49"/>
        <v>0</v>
      </c>
      <c r="G405" s="259">
        <f t="shared" si="50"/>
        <v>0</v>
      </c>
      <c r="H405" s="169">
        <f t="shared" si="51"/>
        <v>0</v>
      </c>
    </row>
    <row r="406" spans="2:8">
      <c r="B406" s="1499"/>
      <c r="C406" s="9">
        <v>14</v>
      </c>
      <c r="D406" s="259">
        <f t="shared" si="47"/>
        <v>0</v>
      </c>
      <c r="E406" s="259">
        <f t="shared" si="48"/>
        <v>0</v>
      </c>
      <c r="F406" s="259">
        <f t="shared" si="49"/>
        <v>0</v>
      </c>
      <c r="G406" s="259">
        <f t="shared" si="50"/>
        <v>0</v>
      </c>
      <c r="H406" s="169">
        <f t="shared" si="51"/>
        <v>0</v>
      </c>
    </row>
    <row r="407" spans="2:8">
      <c r="B407" s="1499"/>
      <c r="C407" s="9">
        <v>15</v>
      </c>
      <c r="D407" s="259">
        <f t="shared" si="47"/>
        <v>0</v>
      </c>
      <c r="E407" s="259">
        <f t="shared" si="48"/>
        <v>0</v>
      </c>
      <c r="F407" s="259">
        <f t="shared" si="49"/>
        <v>0</v>
      </c>
      <c r="G407" s="259">
        <f t="shared" si="50"/>
        <v>0</v>
      </c>
      <c r="H407" s="169">
        <f t="shared" si="51"/>
        <v>0</v>
      </c>
    </row>
    <row r="408" spans="2:8">
      <c r="B408" s="1499"/>
      <c r="C408" s="9">
        <v>16</v>
      </c>
      <c r="D408" s="259">
        <f t="shared" si="47"/>
        <v>0</v>
      </c>
      <c r="E408" s="259">
        <f t="shared" si="48"/>
        <v>0</v>
      </c>
      <c r="F408" s="259">
        <f t="shared" si="49"/>
        <v>0</v>
      </c>
      <c r="G408" s="259">
        <f t="shared" si="50"/>
        <v>0</v>
      </c>
      <c r="H408" s="169">
        <f t="shared" si="51"/>
        <v>0</v>
      </c>
    </row>
    <row r="409" spans="2:8">
      <c r="B409" s="1499"/>
      <c r="C409" s="9">
        <v>17</v>
      </c>
      <c r="D409" s="259">
        <f t="shared" si="47"/>
        <v>0</v>
      </c>
      <c r="E409" s="259">
        <f t="shared" si="48"/>
        <v>0</v>
      </c>
      <c r="F409" s="259">
        <f t="shared" si="49"/>
        <v>0</v>
      </c>
      <c r="G409" s="259">
        <f t="shared" si="50"/>
        <v>0</v>
      </c>
      <c r="H409" s="169">
        <f t="shared" si="51"/>
        <v>0</v>
      </c>
    </row>
    <row r="410" spans="2:8">
      <c r="B410" s="1499"/>
      <c r="C410" s="9">
        <v>18</v>
      </c>
      <c r="D410" s="259">
        <f t="shared" si="47"/>
        <v>0</v>
      </c>
      <c r="E410" s="259">
        <f t="shared" si="48"/>
        <v>0</v>
      </c>
      <c r="F410" s="259">
        <f t="shared" si="49"/>
        <v>0</v>
      </c>
      <c r="G410" s="259">
        <f t="shared" si="50"/>
        <v>0</v>
      </c>
      <c r="H410" s="169">
        <f t="shared" si="51"/>
        <v>0</v>
      </c>
    </row>
    <row r="411" spans="2:8">
      <c r="B411" s="1499"/>
      <c r="C411" s="9">
        <v>19</v>
      </c>
      <c r="D411" s="259">
        <f t="shared" si="47"/>
        <v>0</v>
      </c>
      <c r="E411" s="259">
        <f t="shared" si="48"/>
        <v>0</v>
      </c>
      <c r="F411" s="259">
        <f t="shared" si="49"/>
        <v>0</v>
      </c>
      <c r="G411" s="259">
        <f t="shared" si="50"/>
        <v>0</v>
      </c>
      <c r="H411" s="169">
        <f t="shared" si="51"/>
        <v>0</v>
      </c>
    </row>
    <row r="412" spans="2:8">
      <c r="B412" s="1499"/>
      <c r="C412" s="9">
        <v>20</v>
      </c>
      <c r="D412" s="259">
        <f t="shared" si="47"/>
        <v>0</v>
      </c>
      <c r="E412" s="259">
        <f t="shared" si="48"/>
        <v>0</v>
      </c>
      <c r="F412" s="259">
        <f t="shared" si="49"/>
        <v>0</v>
      </c>
      <c r="G412" s="259">
        <f t="shared" si="50"/>
        <v>0</v>
      </c>
      <c r="H412" s="169">
        <f t="shared" si="51"/>
        <v>0</v>
      </c>
    </row>
    <row r="413" spans="2:8">
      <c r="B413" s="1499"/>
      <c r="C413" s="9">
        <v>21</v>
      </c>
      <c r="D413" s="259">
        <f t="shared" si="47"/>
        <v>0</v>
      </c>
      <c r="E413" s="259">
        <f t="shared" si="48"/>
        <v>0</v>
      </c>
      <c r="F413" s="259">
        <f t="shared" si="49"/>
        <v>0</v>
      </c>
      <c r="G413" s="259">
        <f t="shared" si="50"/>
        <v>0</v>
      </c>
      <c r="H413" s="169">
        <f t="shared" si="51"/>
        <v>0</v>
      </c>
    </row>
    <row r="414" spans="2:8">
      <c r="B414" s="1499"/>
      <c r="C414" s="9">
        <v>22</v>
      </c>
      <c r="D414" s="259">
        <f t="shared" si="47"/>
        <v>0</v>
      </c>
      <c r="E414" s="259">
        <f t="shared" si="48"/>
        <v>0</v>
      </c>
      <c r="F414" s="259">
        <f t="shared" si="49"/>
        <v>0</v>
      </c>
      <c r="G414" s="259">
        <f t="shared" si="50"/>
        <v>0</v>
      </c>
      <c r="H414" s="169">
        <f t="shared" si="51"/>
        <v>0</v>
      </c>
    </row>
    <row r="415" spans="2:8">
      <c r="B415" s="1499"/>
      <c r="C415" s="9">
        <v>23</v>
      </c>
      <c r="D415" s="259">
        <f t="shared" si="47"/>
        <v>0</v>
      </c>
      <c r="E415" s="259">
        <f t="shared" si="48"/>
        <v>0</v>
      </c>
      <c r="F415" s="259">
        <f t="shared" si="49"/>
        <v>0</v>
      </c>
      <c r="G415" s="259">
        <f t="shared" si="50"/>
        <v>0</v>
      </c>
      <c r="H415" s="169">
        <f t="shared" si="51"/>
        <v>0</v>
      </c>
    </row>
    <row r="416" spans="2:8">
      <c r="B416" s="1499"/>
      <c r="C416" s="9">
        <v>24</v>
      </c>
      <c r="D416" s="259">
        <f t="shared" si="47"/>
        <v>0</v>
      </c>
      <c r="E416" s="259">
        <f t="shared" si="48"/>
        <v>0</v>
      </c>
      <c r="F416" s="259">
        <f t="shared" si="49"/>
        <v>0</v>
      </c>
      <c r="G416" s="259">
        <f t="shared" si="50"/>
        <v>0</v>
      </c>
      <c r="H416" s="169">
        <f t="shared" si="51"/>
        <v>0</v>
      </c>
    </row>
    <row r="417" spans="2:8">
      <c r="B417" s="1499"/>
      <c r="C417" s="9">
        <v>25</v>
      </c>
      <c r="D417" s="259">
        <f t="shared" si="47"/>
        <v>0</v>
      </c>
      <c r="E417" s="259">
        <f t="shared" si="48"/>
        <v>0</v>
      </c>
      <c r="F417" s="259">
        <f t="shared" si="49"/>
        <v>0</v>
      </c>
      <c r="G417" s="259">
        <f t="shared" si="50"/>
        <v>0</v>
      </c>
      <c r="H417" s="169">
        <f t="shared" si="51"/>
        <v>0</v>
      </c>
    </row>
    <row r="418" spans="2:8">
      <c r="B418" s="1499"/>
      <c r="C418" s="9">
        <v>26</v>
      </c>
      <c r="D418" s="259">
        <f t="shared" si="47"/>
        <v>0</v>
      </c>
      <c r="E418" s="259">
        <f t="shared" si="48"/>
        <v>0</v>
      </c>
      <c r="F418" s="259">
        <f t="shared" si="49"/>
        <v>0</v>
      </c>
      <c r="G418" s="259">
        <f t="shared" si="50"/>
        <v>0</v>
      </c>
      <c r="H418" s="169">
        <f t="shared" si="51"/>
        <v>0</v>
      </c>
    </row>
    <row r="419" spans="2:8">
      <c r="B419" s="1499"/>
      <c r="C419" s="9">
        <v>27</v>
      </c>
      <c r="D419" s="259">
        <f t="shared" si="47"/>
        <v>0</v>
      </c>
      <c r="E419" s="259">
        <f t="shared" si="48"/>
        <v>0</v>
      </c>
      <c r="F419" s="259">
        <f t="shared" si="49"/>
        <v>0</v>
      </c>
      <c r="G419" s="259">
        <f t="shared" si="50"/>
        <v>0</v>
      </c>
      <c r="H419" s="169">
        <f t="shared" si="51"/>
        <v>0</v>
      </c>
    </row>
    <row r="420" spans="2:8">
      <c r="B420" s="1499"/>
      <c r="C420" s="9">
        <v>28</v>
      </c>
      <c r="D420" s="259">
        <f t="shared" si="47"/>
        <v>0</v>
      </c>
      <c r="E420" s="259">
        <f t="shared" si="48"/>
        <v>0</v>
      </c>
      <c r="F420" s="259">
        <f t="shared" si="49"/>
        <v>0</v>
      </c>
      <c r="G420" s="259">
        <f t="shared" si="50"/>
        <v>0</v>
      </c>
      <c r="H420" s="169">
        <f t="shared" si="51"/>
        <v>0</v>
      </c>
    </row>
    <row r="421" spans="2:8">
      <c r="B421" s="1499"/>
      <c r="C421" s="9">
        <v>29</v>
      </c>
      <c r="D421" s="259">
        <f t="shared" si="47"/>
        <v>0</v>
      </c>
      <c r="E421" s="259">
        <f t="shared" si="48"/>
        <v>0</v>
      </c>
      <c r="F421" s="259">
        <f t="shared" si="49"/>
        <v>0</v>
      </c>
      <c r="G421" s="259">
        <f t="shared" si="50"/>
        <v>0</v>
      </c>
      <c r="H421" s="169">
        <f t="shared" si="51"/>
        <v>0</v>
      </c>
    </row>
    <row r="422" spans="2:8" ht="15" thickBot="1">
      <c r="B422" s="1499"/>
      <c r="C422" s="337">
        <v>30</v>
      </c>
      <c r="D422" s="259">
        <f t="shared" si="47"/>
        <v>0</v>
      </c>
      <c r="E422" s="259">
        <f t="shared" si="48"/>
        <v>0</v>
      </c>
      <c r="F422" s="259">
        <f t="shared" si="49"/>
        <v>0</v>
      </c>
      <c r="G422" s="259">
        <f t="shared" si="50"/>
        <v>0</v>
      </c>
      <c r="H422" s="169">
        <f t="shared" si="51"/>
        <v>0</v>
      </c>
    </row>
    <row r="423" spans="2:8" ht="15" thickBot="1">
      <c r="B423" s="1500"/>
      <c r="C423" s="217" t="s">
        <v>506</v>
      </c>
      <c r="D423" s="348">
        <f>SUM(D392:D422)</f>
        <v>0</v>
      </c>
      <c r="E423" s="348">
        <f t="shared" ref="E423:H423" si="52">SUM(E392:E422)</f>
        <v>0</v>
      </c>
      <c r="F423" s="348">
        <f t="shared" si="52"/>
        <v>0</v>
      </c>
      <c r="G423" s="348">
        <f t="shared" si="52"/>
        <v>0</v>
      </c>
      <c r="H423" s="344">
        <f t="shared" si="52"/>
        <v>0</v>
      </c>
    </row>
  </sheetData>
  <sheetProtection algorithmName="SHA-512" hashValue="Lg8LW4/ankyuQOhM2N+TFtRVKlVH3MmO1wJD7jU3Otsn7k9Qns2aSZfze/JGIRf9GDBLZZs7Q7u9XBUNM0v48g==" saltValue="OaZj+D++M/tNbYiUwOonzw==" spinCount="100000" sheet="1" objects="1" scenarios="1"/>
  <mergeCells count="41">
    <mergeCell ref="F281:J281"/>
    <mergeCell ref="B356:B388"/>
    <mergeCell ref="D356:H356"/>
    <mergeCell ref="B390:B423"/>
    <mergeCell ref="D390:H390"/>
    <mergeCell ref="B282:B314"/>
    <mergeCell ref="B316:B320"/>
    <mergeCell ref="C320:D320"/>
    <mergeCell ref="B322:B354"/>
    <mergeCell ref="D322:H322"/>
    <mergeCell ref="N11:N17"/>
    <mergeCell ref="N20:N31"/>
    <mergeCell ref="N33:N38"/>
    <mergeCell ref="N41:N45"/>
    <mergeCell ref="D246:H246"/>
    <mergeCell ref="N90:N94"/>
    <mergeCell ref="F129:J129"/>
    <mergeCell ref="B246:B279"/>
    <mergeCell ref="B212:B244"/>
    <mergeCell ref="D212:H212"/>
    <mergeCell ref="B5:B36"/>
    <mergeCell ref="B49:B50"/>
    <mergeCell ref="B41:B42"/>
    <mergeCell ref="B80:B84"/>
    <mergeCell ref="B53:B62"/>
    <mergeCell ref="V3:AA3"/>
    <mergeCell ref="B92:B94"/>
    <mergeCell ref="N72:N74"/>
    <mergeCell ref="B170:B176"/>
    <mergeCell ref="D178:H178"/>
    <mergeCell ref="B178:B210"/>
    <mergeCell ref="B130:B162"/>
    <mergeCell ref="C168:D168"/>
    <mergeCell ref="B164:B168"/>
    <mergeCell ref="B96:B127"/>
    <mergeCell ref="N83:N87"/>
    <mergeCell ref="B87:B90"/>
    <mergeCell ref="B45:B47"/>
    <mergeCell ref="B68:B77"/>
    <mergeCell ref="N76:N80"/>
    <mergeCell ref="N48:N69"/>
  </mergeCells>
  <conditionalFormatting sqref="D42">
    <cfRule type="expression" dxfId="15" priority="1">
      <formula>#REF!="Percent of Salary Midpoint Increase (%)"</formula>
    </cfRule>
    <cfRule type="expression" dxfId="14" priority="3">
      <formula>#REF!="Flat Salary Increase ($)"</formula>
    </cfRule>
  </conditionalFormatting>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509388a-dc3d-42e0-ad02-1f88cc25c44c" xsi:nil="true"/>
    <SharedWithUsers xmlns="4780d0d2-c080-455e-bee8-5b3382ef325a">
      <UserInfo>
        <DisplayName>Hayley Bacon</DisplayName>
        <AccountId>50</AccountId>
        <AccountType/>
      </UserInfo>
      <UserInfo>
        <DisplayName>Olivia Carr</DisplayName>
        <AccountId>3989</AccountId>
        <AccountType/>
      </UserInfo>
      <UserInfo>
        <DisplayName>Crystal Chu</DisplayName>
        <AccountId>49</AccountId>
        <AccountType/>
      </UserInfo>
      <UserInfo>
        <DisplayName>Samantha LeVangie</DisplayName>
        <AccountId>714</AccountId>
        <AccountType/>
      </UserInfo>
      <UserInfo>
        <DisplayName>Laurel Bliss</DisplayName>
        <AccountId>4013</AccountId>
        <AccountType/>
      </UserInfo>
    </SharedWithUsers>
    <MediaServiceKeyPoints xmlns="55ad0659-6a5d-4092-b991-df82805f26a4" xsi:nil="true"/>
    <lcf76f155ced4ddcb4097134ff3c332f xmlns="55ad0659-6a5d-4092-b991-df82805f26a4">
      <Terms xmlns="http://schemas.microsoft.com/office/infopath/2007/PartnerControls"/>
    </lcf76f155ced4ddcb4097134ff3c332f>
    <MediaLengthInSeconds xmlns="55ad0659-6a5d-4092-b991-df82805f26a4" xsi:nil="true"/>
    <PhotoTags xmlns="55ad0659-6a5d-4092-b991-df82805f26a4" xsi:nil="true"/>
    <Owner xmlns="55ad0659-6a5d-4092-b991-df82805f26a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B8CB2DC0153D0408D1CF651F2AD29DF" ma:contentTypeVersion="23" ma:contentTypeDescription="Create a new document." ma:contentTypeScope="" ma:versionID="b6dfcf36bca898e57ad3b88cb9287a24">
  <xsd:schema xmlns:xsd="http://www.w3.org/2001/XMLSchema" xmlns:xs="http://www.w3.org/2001/XMLSchema" xmlns:p="http://schemas.microsoft.com/office/2006/metadata/properties" xmlns:ns2="55ad0659-6a5d-4092-b991-df82805f26a4" xmlns:ns3="4780d0d2-c080-455e-bee8-5b3382ef325a" xmlns:ns4="7509388a-dc3d-42e0-ad02-1f88cc25c44c" targetNamespace="http://schemas.microsoft.com/office/2006/metadata/properties" ma:root="true" ma:fieldsID="be48d3e2447120cf9370ffe958b89901" ns2:_="" ns3:_="" ns4:_="">
    <xsd:import namespace="55ad0659-6a5d-4092-b991-df82805f26a4"/>
    <xsd:import namespace="4780d0d2-c080-455e-bee8-5b3382ef325a"/>
    <xsd:import namespace="7509388a-dc3d-42e0-ad02-1f88cc25c44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PhotoTags" minOccurs="0"/>
                <xsd:element ref="ns2:MediaLengthInSeconds" minOccurs="0"/>
                <xsd:element ref="ns4:TaxCatchAll" minOccurs="0"/>
                <xsd:element ref="ns2:lcf76f155ced4ddcb4097134ff3c332f" minOccurs="0"/>
                <xsd:element ref="ns2:Owner"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5ad0659-6a5d-4092-b991-df82805f26a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PhotoTags" ma:index="20" nillable="true" ma:displayName="Photo Tags" ma:format="Dropdown" ma:internalName="PhotoTags">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3b7a77b5-e59d-49f3-97a2-3dde868dbe2d" ma:termSetId="09814cd3-568e-fe90-9814-8d621ff8fb84" ma:anchorId="fba54fb3-c3e1-fe81-a776-ca4b69148c4d" ma:open="true" ma:isKeyword="false">
      <xsd:complexType>
        <xsd:sequence>
          <xsd:element ref="pc:Terms" minOccurs="0" maxOccurs="1"/>
        </xsd:sequence>
      </xsd:complexType>
    </xsd:element>
    <xsd:element name="Owner" ma:index="25" nillable="true" ma:displayName="Owner" ma:description="Name of the person who owns the OP" ma:format="Dropdown" ma:internalName="Owner">
      <xsd:simpleType>
        <xsd:restriction base="dms:Text">
          <xsd:maxLength value="255"/>
        </xsd:restriction>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780d0d2-c080-455e-bee8-5b3382ef325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509388a-dc3d-42e0-ad02-1f88cc25c44c"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ddda7e6e-9532-4eac-be15-fb9b6964c0ff}" ma:internalName="TaxCatchAll" ma:showField="CatchAllData" ma:web="7509388a-dc3d-42e0-ad02-1f88cc25c44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A39CC8B-203D-4595-A9AE-FF66A05BA8A0}"/>
</file>

<file path=customXml/itemProps2.xml><?xml version="1.0" encoding="utf-8"?>
<ds:datastoreItem xmlns:ds="http://schemas.openxmlformats.org/officeDocument/2006/customXml" ds:itemID="{5708E8A8-5FAD-4097-979C-88D48E247C35}"/>
</file>

<file path=customXml/itemProps3.xml><?xml version="1.0" encoding="utf-8"?>
<ds:datastoreItem xmlns:ds="http://schemas.openxmlformats.org/officeDocument/2006/customXml" ds:itemID="{77447487-DDC7-4DFC-A941-B44BEAEF3E52}"/>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Olivia Carr</dc:creator>
  <cp:keywords/>
  <dc:description/>
  <cp:lastModifiedBy/>
  <cp:revision/>
  <dcterms:created xsi:type="dcterms:W3CDTF">2024-02-15T17:31:31Z</dcterms:created>
  <dcterms:modified xsi:type="dcterms:W3CDTF">2024-11-20T20:40:06Z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0x0101001B8CB2DC0153D0408D1CF651F2AD29DF</vt:lpwstr>
  </property>
  <property fmtid="{D5CDD505-2E9C-101B-9397-08002B2CF9AE}" pid="3" name="MediaServiceImageTags">
    <vt:lpwstr/>
  </property>
  <property fmtid="{D5CDD505-2E9C-101B-9397-08002B2CF9AE}" pid="4" name="Order">
    <vt:r8>79602200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_Identifier">
    <vt:lpwstr>Client Work</vt:lpwstr>
  </property>
  <property fmtid="{D5CDD505-2E9C-101B-9397-08002B2CF9AE}" pid="11" name="TriggerFlowInfo">
    <vt:lpwstr/>
  </property>
</Properties>
</file>